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0"/>
  </bookViews>
  <sheets>
    <sheet name="Distributed Layout" sheetId="1" r:id="rId1"/>
    <sheet name="Wire Table" sheetId="2" r:id="rId2"/>
  </sheets>
  <definedNames>
    <definedName name="_xlnm.Print_Area" localSheetId="0">'Distributed Layout'!$A$1:$M$44</definedName>
  </definedNames>
  <calcPr fullCalcOnLoad="1"/>
</workbook>
</file>

<file path=xl/sharedStrings.xml><?xml version="1.0" encoding="utf-8"?>
<sst xmlns="http://schemas.openxmlformats.org/spreadsheetml/2006/main" count="253" uniqueCount="155">
  <si>
    <t>Cable length</t>
  </si>
  <si>
    <t>Tap</t>
  </si>
  <si>
    <t>V</t>
  </si>
  <si>
    <t>Total W</t>
  </si>
  <si>
    <t>Amplifier to Spkr #1</t>
  </si>
  <si>
    <t>W</t>
  </si>
  <si>
    <t>Max Voltage</t>
  </si>
  <si>
    <t>ohm</t>
  </si>
  <si>
    <t>Spkr #</t>
  </si>
  <si>
    <t>dB</t>
  </si>
  <si>
    <t>Total Cable R</t>
  </si>
  <si>
    <t>Total Spkr Z</t>
  </si>
  <si>
    <t>SPL Variation</t>
  </si>
  <si>
    <t>SPL Loss at Last Segment</t>
  </si>
  <si>
    <t>AWG for Segment</t>
  </si>
  <si>
    <t>NOTES:</t>
  </si>
  <si>
    <t>Quantity Spkrs</t>
  </si>
  <si>
    <t>Loss Ratio Vin/Vout</t>
  </si>
  <si>
    <t>Spkr Load - Qty</t>
  </si>
  <si>
    <t>Load - ohm</t>
  </si>
  <si>
    <t>Voltage - V</t>
  </si>
  <si>
    <t>dB SPL Loss</t>
  </si>
  <si>
    <t>dB SPL Ref Spkr #1</t>
  </si>
  <si>
    <t>Recommended Amplifier</t>
  </si>
  <si>
    <t>Values At Beginning of Cable Segments</t>
  </si>
  <si>
    <t>Cable R / Segment- ohm</t>
  </si>
  <si>
    <t>Amperes - A</t>
  </si>
  <si>
    <t>A</t>
  </si>
  <si>
    <t>Min Current Headroom</t>
  </si>
  <si>
    <t>Wire Current Headroom - A</t>
  </si>
  <si>
    <t>Max Current</t>
  </si>
  <si>
    <t>Enter AWG:</t>
  </si>
  <si>
    <t>Segment Length / Spkr</t>
  </si>
  <si>
    <t>Z / Spkr</t>
  </si>
  <si>
    <t>Cable Segment</t>
  </si>
  <si>
    <t>Cable Segement 1 is from the Amplifier to Spkr # 1.</t>
  </si>
  <si>
    <r>
      <t xml:space="preserve">Suceeding Cable Segements </t>
    </r>
    <r>
      <rPr>
        <sz val="10"/>
        <rFont val="Arial"/>
        <family val="0"/>
      </rPr>
      <t xml:space="preserve">run from </t>
    </r>
    <r>
      <rPr>
        <b/>
        <i/>
        <sz val="10"/>
        <rFont val="Arial"/>
        <family val="2"/>
      </rPr>
      <t>Spkr #</t>
    </r>
    <r>
      <rPr>
        <sz val="10"/>
        <rFont val="Arial"/>
        <family val="0"/>
      </rPr>
      <t xml:space="preserve"> listed to the next </t>
    </r>
    <r>
      <rPr>
        <b/>
        <i/>
        <sz val="10"/>
        <rFont val="Arial"/>
        <family val="2"/>
      </rPr>
      <t>Spkr #</t>
    </r>
    <r>
      <rPr>
        <sz val="10"/>
        <rFont val="Arial"/>
        <family val="0"/>
      </rPr>
      <t xml:space="preserve"> listed.</t>
    </r>
  </si>
  <si>
    <t>Each Cable Segement is 10% of the cable length minus Cable Segment 1.</t>
  </si>
  <si>
    <t>The last Cable Segment (10) runs from the last Spkr # listed to the end Spkr = Quantity Spkrs entered.</t>
  </si>
  <si>
    <r>
      <t xml:space="preserve">The </t>
    </r>
    <r>
      <rPr>
        <b/>
        <i/>
        <sz val="10"/>
        <rFont val="Arial"/>
        <family val="2"/>
      </rPr>
      <t>Spkr #</t>
    </r>
    <r>
      <rPr>
        <sz val="10"/>
        <rFont val="Arial"/>
        <family val="0"/>
      </rPr>
      <t xml:space="preserve"> is the loudspeaker nearest to the beginning of the calculated cable segement length.</t>
    </r>
  </si>
  <si>
    <t>Segment with the Min Current Headroom</t>
  </si>
  <si>
    <t xml:space="preserve">Enter "f" for feet or "m" for meters </t>
  </si>
  <si>
    <t>0000</t>
  </si>
  <si>
    <t>000</t>
  </si>
  <si>
    <t>00</t>
  </si>
  <si>
    <t>AWG gauge</t>
  </si>
  <si>
    <t>Diameter Inches</t>
  </si>
  <si>
    <t>Diameter mm</t>
  </si>
  <si>
    <t>Ohms per 1000 ft</t>
  </si>
  <si>
    <t>Ohms per km</t>
  </si>
  <si>
    <t>Maximum amps @ 500 circ mils per amp</t>
  </si>
  <si>
    <t>Circular Mils</t>
  </si>
  <si>
    <t>Circ. Mils</t>
  </si>
  <si>
    <t>Equivalent</t>
  </si>
  <si>
    <t>Awg.</t>
  </si>
  <si>
    <t>Size</t>
  </si>
  <si>
    <t>Metric</t>
  </si>
  <si>
    <t>Wire</t>
  </si>
  <si>
    <t>Stranding/ Wire</t>
  </si>
  <si>
    <t>Dia. per Strand</t>
  </si>
  <si>
    <t>Approximate</t>
  </si>
  <si>
    <t>Overall Diameter</t>
  </si>
  <si>
    <t>in</t>
  </si>
  <si>
    <t>mm</t>
  </si>
  <si>
    <t>-</t>
  </si>
  <si>
    <t>mm2</t>
  </si>
  <si>
    <t>Data for Standard AWG Wire Gauges</t>
  </si>
  <si>
    <t xml:space="preserve">Standard AWG and Metric Wire Size Data </t>
  </si>
  <si>
    <t>1 / 0.032</t>
  </si>
  <si>
    <t>7 / 0.0121</t>
  </si>
  <si>
    <t>1 / 0.039</t>
  </si>
  <si>
    <t>1 / 0.0403</t>
  </si>
  <si>
    <t>7 / 0.0152</t>
  </si>
  <si>
    <t>1 / 0.045</t>
  </si>
  <si>
    <t>7 / 0.017</t>
  </si>
  <si>
    <t>1 / 0.0508</t>
  </si>
  <si>
    <t>7 / 0.0192</t>
  </si>
  <si>
    <t>1 / 0.055</t>
  </si>
  <si>
    <t>7 / 0.021</t>
  </si>
  <si>
    <t>1 / 0.0641</t>
  </si>
  <si>
    <t>7 / 0.0242</t>
  </si>
  <si>
    <t>1 / 0.071</t>
  </si>
  <si>
    <t>7 / 0.027</t>
  </si>
  <si>
    <t>1 / 0.0808</t>
  </si>
  <si>
    <t>7 / 0.0305</t>
  </si>
  <si>
    <t>1 / 0.089</t>
  </si>
  <si>
    <t>7 / 0.034</t>
  </si>
  <si>
    <t>1 / 0.1019</t>
  </si>
  <si>
    <t>7 / 0.0385</t>
  </si>
  <si>
    <t>1 / 0.109</t>
  </si>
  <si>
    <t>7 / 0.042</t>
  </si>
  <si>
    <t>1 / 0.1144</t>
  </si>
  <si>
    <t>7 / 0.0432</t>
  </si>
  <si>
    <t>1 / 0.1285</t>
  </si>
  <si>
    <t>7 / 0.0486</t>
  </si>
  <si>
    <t>1 / 0.141</t>
  </si>
  <si>
    <t>7 / 0.054</t>
  </si>
  <si>
    <t>1 / 0.1443</t>
  </si>
  <si>
    <t>7 / 0.0545</t>
  </si>
  <si>
    <t>1 / 0.162</t>
  </si>
  <si>
    <t>7 / 0.0612</t>
  </si>
  <si>
    <t>7 / 0.068</t>
  </si>
  <si>
    <t>7 / 0.0688</t>
  </si>
  <si>
    <t>7 / 0.0772</t>
  </si>
  <si>
    <t>7 / 0.085</t>
  </si>
  <si>
    <t>19 / 0.052</t>
  </si>
  <si>
    <t>7 / 0.0867</t>
  </si>
  <si>
    <t>7 / 0.0974</t>
  </si>
  <si>
    <t>7 / 0.100</t>
  </si>
  <si>
    <t>19 / 0.061</t>
  </si>
  <si>
    <t>1 / 0.813</t>
  </si>
  <si>
    <t>7 / 0.307</t>
  </si>
  <si>
    <t>1 / 0.991</t>
  </si>
  <si>
    <t>1 / 1.02</t>
  </si>
  <si>
    <t>7 / 0.386</t>
  </si>
  <si>
    <t>1 / 1.14</t>
  </si>
  <si>
    <t>7 / 0.432</t>
  </si>
  <si>
    <t>1 / 1.29</t>
  </si>
  <si>
    <t>7 / 0.488</t>
  </si>
  <si>
    <t>1 / 1.40</t>
  </si>
  <si>
    <t>7 / 5.33</t>
  </si>
  <si>
    <t>1 / 1.63</t>
  </si>
  <si>
    <t>7 / 0.615</t>
  </si>
  <si>
    <t>1 / 1.80</t>
  </si>
  <si>
    <t>7 / 0.686</t>
  </si>
  <si>
    <t>1 / 2.05</t>
  </si>
  <si>
    <t>7 / 0.775</t>
  </si>
  <si>
    <t>1 / 2.26</t>
  </si>
  <si>
    <t>7 / 0.864</t>
  </si>
  <si>
    <t>1 / 2.59</t>
  </si>
  <si>
    <t>7 / 0.978</t>
  </si>
  <si>
    <t>1 / 2.77</t>
  </si>
  <si>
    <t>7 / 1.07</t>
  </si>
  <si>
    <t>1 / 2.91</t>
  </si>
  <si>
    <t>7 / 1.10</t>
  </si>
  <si>
    <t>1 / 3.26</t>
  </si>
  <si>
    <t>7 / 1.23</t>
  </si>
  <si>
    <t>1 / 3.58</t>
  </si>
  <si>
    <t>7 / 1.37</t>
  </si>
  <si>
    <t>1 / 3.67</t>
  </si>
  <si>
    <t>7 / 1.38</t>
  </si>
  <si>
    <t>1 / 4.11</t>
  </si>
  <si>
    <t>7 / 1.55</t>
  </si>
  <si>
    <t>7 / 1.73</t>
  </si>
  <si>
    <t>7 / 1.75</t>
  </si>
  <si>
    <t>7 / 1.96</t>
  </si>
  <si>
    <t>7 / 2.16</t>
  </si>
  <si>
    <t>19 / 1.32</t>
  </si>
  <si>
    <t>7 / 2.20</t>
  </si>
  <si>
    <t>7 / 2.47</t>
  </si>
  <si>
    <t>7 / 2.54</t>
  </si>
  <si>
    <t>19 / 1.55</t>
  </si>
  <si>
    <t>f</t>
  </si>
  <si>
    <t>Min Wire Current Headroom</t>
  </si>
  <si>
    <t>DISTRIBUTED LOUDSPEAKER CABLE CALCULATOR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</si>
</sst>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0"/>
    <numFmt numFmtId="178" formatCode="0.000000000"/>
    <numFmt numFmtId="179" formatCode="0.0000000000"/>
    <numFmt numFmtId="180" formatCode="0.0000000"/>
    <numFmt numFmtId="181" formatCode="0.00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3" applyNumberFormat="0" applyAlignment="0" applyProtection="0"/>
    <xf numFmtId="0" fontId="9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0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right"/>
    </xf>
    <xf numFmtId="1" fontId="0" fillId="34" borderId="10" xfId="0" applyNumberFormat="1" applyFill="1" applyBorder="1" applyAlignment="1">
      <alignment horizontal="center"/>
    </xf>
    <xf numFmtId="0" fontId="7" fillId="0" borderId="0" xfId="0" applyFont="1" applyAlignment="1">
      <alignment/>
    </xf>
    <xf numFmtId="172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2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left"/>
    </xf>
    <xf numFmtId="2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left"/>
    </xf>
    <xf numFmtId="0" fontId="11" fillId="35" borderId="16" xfId="0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172" fontId="11" fillId="35" borderId="17" xfId="0" applyNumberFormat="1" applyFont="1" applyFill="1" applyBorder="1" applyAlignment="1">
      <alignment horizontal="right"/>
    </xf>
    <xf numFmtId="0" fontId="2" fillId="36" borderId="18" xfId="0" applyFont="1" applyFill="1" applyBorder="1" applyAlignment="1">
      <alignment horizontal="right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7" borderId="1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right"/>
    </xf>
    <xf numFmtId="0" fontId="3" fillId="34" borderId="21" xfId="0" applyFont="1" applyFill="1" applyBorder="1" applyAlignment="1" applyProtection="1">
      <alignment horizontal="center"/>
      <protection locked="0"/>
    </xf>
    <xf numFmtId="0" fontId="1" fillId="37" borderId="22" xfId="0" applyFont="1" applyFill="1" applyBorder="1" applyAlignment="1">
      <alignment horizontal="right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>
      <alignment horizontal="left"/>
    </xf>
    <xf numFmtId="0" fontId="0" fillId="37" borderId="22" xfId="0" applyFill="1" applyBorder="1" applyAlignment="1">
      <alignment/>
    </xf>
    <xf numFmtId="0" fontId="3" fillId="34" borderId="24" xfId="0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 locked="0"/>
    </xf>
    <xf numFmtId="0" fontId="12" fillId="38" borderId="11" xfId="0" applyFont="1" applyFill="1" applyBorder="1" applyAlignment="1">
      <alignment horizontal="right"/>
    </xf>
    <xf numFmtId="172" fontId="12" fillId="38" borderId="12" xfId="0" applyNumberFormat="1" applyFont="1" applyFill="1" applyBorder="1" applyAlignment="1">
      <alignment/>
    </xf>
    <xf numFmtId="172" fontId="12" fillId="38" borderId="13" xfId="0" applyNumberFormat="1" applyFont="1" applyFill="1" applyBorder="1" applyAlignment="1">
      <alignment/>
    </xf>
    <xf numFmtId="0" fontId="12" fillId="38" borderId="14" xfId="0" applyFont="1" applyFill="1" applyBorder="1" applyAlignment="1">
      <alignment horizontal="right"/>
    </xf>
    <xf numFmtId="0" fontId="12" fillId="38" borderId="10" xfId="0" applyFont="1" applyFill="1" applyBorder="1" applyAlignment="1">
      <alignment/>
    </xf>
    <xf numFmtId="0" fontId="12" fillId="38" borderId="15" xfId="0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0" fontId="12" fillId="38" borderId="25" xfId="0" applyFont="1" applyFill="1" applyBorder="1" applyAlignment="1">
      <alignment horizontal="right"/>
    </xf>
    <xf numFmtId="172" fontId="12" fillId="38" borderId="26" xfId="0" applyNumberFormat="1" applyFont="1" applyFill="1" applyBorder="1" applyAlignment="1">
      <alignment/>
    </xf>
    <xf numFmtId="0" fontId="12" fillId="38" borderId="27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7" borderId="14" xfId="0" applyFont="1" applyFill="1" applyBorder="1" applyAlignment="1">
      <alignment horizontal="right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37" borderId="15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right"/>
    </xf>
    <xf numFmtId="0" fontId="0" fillId="34" borderId="15" xfId="0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1" fontId="0" fillId="34" borderId="15" xfId="0" applyNumberFormat="1" applyFont="1" applyFill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173" fontId="12" fillId="0" borderId="10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2" fontId="2" fillId="33" borderId="15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39" borderId="25" xfId="0" applyFont="1" applyFill="1" applyBorder="1" applyAlignment="1">
      <alignment horizontal="right"/>
    </xf>
    <xf numFmtId="0" fontId="1" fillId="39" borderId="26" xfId="0" applyFont="1" applyFill="1" applyBorder="1" applyAlignment="1">
      <alignment horizontal="center"/>
    </xf>
    <xf numFmtId="2" fontId="1" fillId="39" borderId="26" xfId="0" applyNumberFormat="1" applyFont="1" applyFill="1" applyBorder="1" applyAlignment="1">
      <alignment horizontal="center"/>
    </xf>
    <xf numFmtId="176" fontId="1" fillId="39" borderId="27" xfId="0" applyNumberFormat="1" applyFont="1" applyFill="1" applyBorder="1" applyAlignment="1">
      <alignment horizontal="center"/>
    </xf>
    <xf numFmtId="172" fontId="12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4" borderId="28" xfId="0" applyFill="1" applyBorder="1" applyAlignment="1" applyProtection="1">
      <alignment horizontal="center" wrapText="1"/>
      <protection/>
    </xf>
    <xf numFmtId="0" fontId="0" fillId="38" borderId="28" xfId="0" applyFill="1" applyBorder="1" applyAlignment="1" applyProtection="1">
      <alignment horizontal="center" wrapText="1"/>
      <protection/>
    </xf>
    <xf numFmtId="0" fontId="0" fillId="38" borderId="29" xfId="0" applyFill="1" applyBorder="1" applyAlignment="1" applyProtection="1">
      <alignment horizontal="center" wrapText="1"/>
      <protection/>
    </xf>
    <xf numFmtId="0" fontId="0" fillId="34" borderId="28" xfId="0" applyFont="1" applyFill="1" applyBorder="1" applyAlignment="1" applyProtection="1">
      <alignment horizontal="center" wrapText="1"/>
      <protection/>
    </xf>
    <xf numFmtId="0" fontId="0" fillId="34" borderId="28" xfId="0" applyFill="1" applyBorder="1" applyAlignment="1" applyProtection="1" quotePrefix="1">
      <alignment horizontal="center" wrapText="1"/>
      <protection/>
    </xf>
    <xf numFmtId="176" fontId="0" fillId="38" borderId="28" xfId="0" applyNumberFormat="1" applyFill="1" applyBorder="1" applyAlignment="1" applyProtection="1">
      <alignment horizontal="center" wrapText="1"/>
      <protection/>
    </xf>
    <xf numFmtId="2" fontId="0" fillId="38" borderId="28" xfId="0" applyNumberFormat="1" applyFill="1" applyBorder="1" applyAlignment="1" applyProtection="1">
      <alignment horizontal="center" wrapText="1"/>
      <protection/>
    </xf>
    <xf numFmtId="1" fontId="0" fillId="38" borderId="30" xfId="0" applyNumberFormat="1" applyFill="1" applyBorder="1" applyAlignment="1" applyProtection="1">
      <alignment horizontal="center" wrapText="1"/>
      <protection/>
    </xf>
    <xf numFmtId="172" fontId="0" fillId="38" borderId="10" xfId="0" applyNumberFormat="1" applyFill="1" applyBorder="1" applyAlignment="1" applyProtection="1">
      <alignment horizontal="center" wrapText="1"/>
      <protection/>
    </xf>
    <xf numFmtId="0" fontId="0" fillId="34" borderId="28" xfId="0" applyFont="1" applyFill="1" applyBorder="1" applyAlignment="1" applyProtection="1" quotePrefix="1">
      <alignment horizontal="center" wrapText="1"/>
      <protection/>
    </xf>
    <xf numFmtId="0" fontId="1" fillId="40" borderId="29" xfId="0" applyFont="1" applyFill="1" applyBorder="1" applyAlignment="1">
      <alignment horizontal="center" wrapText="1"/>
    </xf>
    <xf numFmtId="0" fontId="1" fillId="40" borderId="31" xfId="0" applyFont="1" applyFill="1" applyBorder="1" applyAlignment="1">
      <alignment horizontal="center" wrapText="1"/>
    </xf>
    <xf numFmtId="0" fontId="1" fillId="40" borderId="32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11" fillId="35" borderId="23" xfId="0" applyFont="1" applyFill="1" applyBorder="1" applyAlignment="1">
      <alignment horizontal="left"/>
    </xf>
    <xf numFmtId="0" fontId="11" fillId="35" borderId="18" xfId="0" applyFont="1" applyFill="1" applyBorder="1" applyAlignment="1">
      <alignment horizontal="left"/>
    </xf>
    <xf numFmtId="0" fontId="11" fillId="35" borderId="33" xfId="0" applyFont="1" applyFill="1" applyBorder="1" applyAlignment="1">
      <alignment horizontal="right"/>
    </xf>
    <xf numFmtId="0" fontId="11" fillId="35" borderId="22" xfId="0" applyFont="1" applyFill="1" applyBorder="1" applyAlignment="1">
      <alignment horizontal="right"/>
    </xf>
    <xf numFmtId="0" fontId="3" fillId="37" borderId="18" xfId="0" applyFont="1" applyFill="1" applyBorder="1" applyAlignment="1">
      <alignment horizontal="left"/>
    </xf>
    <xf numFmtId="0" fontId="1" fillId="40" borderId="34" xfId="0" applyFont="1" applyFill="1" applyBorder="1" applyAlignment="1">
      <alignment horizontal="center" wrapText="1"/>
    </xf>
    <xf numFmtId="0" fontId="1" fillId="40" borderId="35" xfId="0" applyFont="1" applyFill="1" applyBorder="1" applyAlignment="1">
      <alignment horizontal="center" wrapText="1"/>
    </xf>
    <xf numFmtId="0" fontId="1" fillId="40" borderId="36" xfId="0" applyFont="1" applyFill="1" applyBorder="1" applyAlignment="1">
      <alignment horizontal="center" wrapText="1"/>
    </xf>
    <xf numFmtId="0" fontId="1" fillId="40" borderId="37" xfId="0" applyFont="1" applyFill="1" applyBorder="1" applyAlignment="1">
      <alignment horizontal="center" wrapText="1"/>
    </xf>
    <xf numFmtId="0" fontId="1" fillId="40" borderId="38" xfId="0" applyFont="1" applyFill="1" applyBorder="1" applyAlignment="1">
      <alignment horizontal="center" wrapText="1"/>
    </xf>
    <xf numFmtId="0" fontId="1" fillId="40" borderId="39" xfId="0" applyFont="1" applyFill="1" applyBorder="1" applyAlignment="1">
      <alignment horizontal="center" wrapText="1"/>
    </xf>
    <xf numFmtId="0" fontId="1" fillId="40" borderId="29" xfId="0" applyFont="1" applyFill="1" applyBorder="1" applyAlignment="1">
      <alignment horizontal="center" wrapText="1"/>
    </xf>
    <xf numFmtId="0" fontId="1" fillId="40" borderId="31" xfId="0" applyFont="1" applyFill="1" applyBorder="1" applyAlignment="1">
      <alignment horizontal="center" wrapText="1"/>
    </xf>
    <xf numFmtId="0" fontId="1" fillId="40" borderId="32" xfId="0" applyFont="1" applyFill="1" applyBorder="1" applyAlignment="1">
      <alignment horizont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"/>
          <c:w val="0.95275"/>
          <c:h val="0.95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'Distributed Layout'!$C$30:$L$30</c:f>
              <c:numCache/>
            </c:numRef>
          </c:xVal>
          <c:yVal>
            <c:numRef>
              <c:f>'Distributed Layout'!$C$44:$L$44</c:f>
              <c:numCache/>
            </c:numRef>
          </c:yVal>
          <c:smooth val="1"/>
        </c:ser>
        <c:axId val="46431557"/>
        <c:axId val="15230830"/>
      </c:scatterChart>
      <c:valAx>
        <c:axId val="4643155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Approx Spkr #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0830"/>
        <c:crossesAt val="-4"/>
        <c:crossBetween val="midCat"/>
        <c:dispUnits/>
      </c:valAx>
      <c:valAx>
        <c:axId val="15230830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 Loss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155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95250</xdr:rowOff>
    </xdr:from>
    <xdr:to>
      <xdr:col>12</xdr:col>
      <xdr:colOff>800100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5429250" y="685800"/>
        <a:ext cx="4238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1476375</xdr:colOff>
      <xdr:row>1</xdr:row>
      <xdr:rowOff>381000</xdr:rowOff>
    </xdr:to>
    <xdr:pic>
      <xdr:nvPicPr>
        <xdr:cNvPr id="2" name="Picture 2" descr="C:\Chuck\Artwork\EAWC\EAW Commer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1695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34.8515625" style="0" customWidth="1"/>
    <col min="3" max="3" width="11.00390625" style="0" customWidth="1"/>
    <col min="4" max="4" width="10.00390625" style="0" bestFit="1" customWidth="1"/>
    <col min="13" max="13" width="24.421875" style="0" customWidth="1"/>
    <col min="14" max="14" width="12.140625" style="0" bestFit="1" customWidth="1"/>
  </cols>
  <sheetData>
    <row r="1" ht="13.5" customHeight="1"/>
    <row r="2" ht="33" customHeight="1">
      <c r="O2" s="12"/>
    </row>
    <row r="3" ht="21" thickBot="1">
      <c r="B3" s="16" t="s">
        <v>154</v>
      </c>
    </row>
    <row r="4" spans="2:4" ht="15.75">
      <c r="B4" s="17" t="s">
        <v>13</v>
      </c>
      <c r="C4" s="18">
        <f>L44</f>
        <v>-0.7298140800237878</v>
      </c>
      <c r="D4" s="19" t="s">
        <v>9</v>
      </c>
    </row>
    <row r="5" spans="2:4" ht="16.5" thickBot="1">
      <c r="B5" s="20" t="s">
        <v>12</v>
      </c>
      <c r="C5" s="10" t="str">
        <f>"+/- "&amp;ROUND((MAX(C43:L43)-MIN(C43:L43))/2,2)</f>
        <v>+/- 0,36</v>
      </c>
      <c r="D5" s="21" t="s">
        <v>9</v>
      </c>
    </row>
    <row r="6" spans="2:4" ht="15.75" thickBot="1">
      <c r="B6" s="22" t="s">
        <v>23</v>
      </c>
      <c r="C6" s="23">
        <f>1.25*C19</f>
        <v>500</v>
      </c>
      <c r="D6" s="105" t="s">
        <v>5</v>
      </c>
    </row>
    <row r="7" spans="2:4" ht="15.75" thickBot="1">
      <c r="B7" s="22" t="s">
        <v>30</v>
      </c>
      <c r="C7" s="24">
        <f>MAX(C40:L40)</f>
        <v>5.714285714285714</v>
      </c>
      <c r="D7" s="105" t="s">
        <v>27</v>
      </c>
    </row>
    <row r="8" spans="2:4" ht="15.75" thickBot="1">
      <c r="B8" s="22" t="s">
        <v>153</v>
      </c>
      <c r="C8" s="24">
        <f>IF(MIN(C31:L31)=0,"None",MIN(C31:L31))</f>
        <v>0.9624657142857154</v>
      </c>
      <c r="D8" s="105" t="str">
        <f>IF(MIN(C31:L31)=0,"","A")</f>
        <v>A</v>
      </c>
    </row>
    <row r="9" spans="2:4" ht="15.75" thickBot="1">
      <c r="B9" s="106" t="str">
        <f>IF(MIN(C31:L31)=0,"Increase Wire Gauge in Segment "&amp;C47,"Min Current Headroom is in Segment "&amp;C47)</f>
        <v>Min Current Headroom is in Segment # 7</v>
      </c>
      <c r="C9" s="107"/>
      <c r="D9" s="108"/>
    </row>
    <row r="10" ht="13.5" thickBot="1"/>
    <row r="11" spans="2:4" ht="16.5" thickBot="1">
      <c r="B11" s="25" t="s">
        <v>41</v>
      </c>
      <c r="C11" s="26" t="s">
        <v>152</v>
      </c>
      <c r="D11" s="27" t="str">
        <f>IF(C11="f","feet",IF(C11="m","meters","Enter 'f' or 'm'"))</f>
        <v>feet</v>
      </c>
    </row>
    <row r="12" spans="2:4" ht="16.5" thickBot="1">
      <c r="B12" s="28" t="s">
        <v>16</v>
      </c>
      <c r="C12" s="29">
        <v>40</v>
      </c>
      <c r="D12" s="30"/>
    </row>
    <row r="13" spans="2:6" ht="16.5" thickBot="1">
      <c r="B13" s="28" t="s">
        <v>0</v>
      </c>
      <c r="C13" s="31">
        <v>300</v>
      </c>
      <c r="D13" s="32" t="str">
        <f>IF($C$11="f","ft","m")</f>
        <v>ft</v>
      </c>
      <c r="E13" s="109" t="str">
        <f>"= "&amp;ROUND(IF($C$11="f",$C$13*0.3048,$C$13/0.3048),1)&amp;IF($C$11="f"," m"," ft")</f>
        <v>= 91,4 m</v>
      </c>
      <c r="F13" s="33"/>
    </row>
    <row r="14" spans="2:6" ht="16.5" thickBot="1">
      <c r="B14" s="28" t="s">
        <v>4</v>
      </c>
      <c r="C14" s="31">
        <v>40</v>
      </c>
      <c r="D14" s="32" t="str">
        <f>IF($C$11="f","ft","m")</f>
        <v>ft</v>
      </c>
      <c r="E14" s="109" t="str">
        <f>"= "&amp;ROUND(IF($C$11="f",$C$14*0.3048,$C$14/0.3048),1)&amp;IF($C$11="f"," m"," ft")</f>
        <v>= 12,2 m</v>
      </c>
      <c r="F14" s="33"/>
    </row>
    <row r="15" spans="2:4" ht="16.5" thickBot="1">
      <c r="B15" s="28" t="s">
        <v>1</v>
      </c>
      <c r="C15" s="34">
        <v>10</v>
      </c>
      <c r="D15" s="27" t="s">
        <v>5</v>
      </c>
    </row>
    <row r="16" spans="2:4" ht="16.5" thickBot="1">
      <c r="B16" s="28" t="s">
        <v>6</v>
      </c>
      <c r="C16" s="35">
        <v>70</v>
      </c>
      <c r="D16" s="32" t="s">
        <v>2</v>
      </c>
    </row>
    <row r="17" spans="2:4" ht="13.5" thickBot="1">
      <c r="B17" s="6"/>
      <c r="C17" s="8"/>
      <c r="D17" s="5"/>
    </row>
    <row r="18" spans="2:4" ht="12.75">
      <c r="B18" s="36" t="s">
        <v>32</v>
      </c>
      <c r="C18" s="37">
        <f>(C13-C14)/(0.9*C12)</f>
        <v>7.222222222222222</v>
      </c>
      <c r="D18" s="38" t="str">
        <f>IF($C$11="f","ft","m")</f>
        <v>ft</v>
      </c>
    </row>
    <row r="19" spans="2:4" ht="12.75">
      <c r="B19" s="39" t="s">
        <v>3</v>
      </c>
      <c r="C19" s="40">
        <f>C12*C15</f>
        <v>400</v>
      </c>
      <c r="D19" s="41" t="s">
        <v>5</v>
      </c>
    </row>
    <row r="20" spans="2:6" ht="12.75">
      <c r="B20" s="39" t="s">
        <v>33</v>
      </c>
      <c r="C20" s="40">
        <f>C16^2/C15</f>
        <v>490</v>
      </c>
      <c r="D20" s="41" t="s">
        <v>7</v>
      </c>
      <c r="F20" s="9" t="s">
        <v>15</v>
      </c>
    </row>
    <row r="21" spans="2:6" ht="12.75">
      <c r="B21" s="39" t="s">
        <v>11</v>
      </c>
      <c r="C21" s="42">
        <f>C20/C12</f>
        <v>12.25</v>
      </c>
      <c r="D21" s="41" t="s">
        <v>7</v>
      </c>
      <c r="F21" t="s">
        <v>35</v>
      </c>
    </row>
    <row r="22" spans="2:6" ht="13.5" thickBot="1">
      <c r="B22" s="43" t="s">
        <v>10</v>
      </c>
      <c r="C22" s="44">
        <f>SUM(C38:L38)</f>
        <v>2.6655288888888893</v>
      </c>
      <c r="D22" s="45" t="s">
        <v>7</v>
      </c>
      <c r="F22" s="15" t="s">
        <v>36</v>
      </c>
    </row>
    <row r="23" spans="2:6" ht="12.75" customHeight="1">
      <c r="B23" s="6"/>
      <c r="C23" s="7"/>
      <c r="D23" s="5"/>
      <c r="F23" t="s">
        <v>37</v>
      </c>
    </row>
    <row r="24" ht="12.75">
      <c r="F24" t="s">
        <v>38</v>
      </c>
    </row>
    <row r="25" ht="12.75" customHeight="1">
      <c r="F25" t="s">
        <v>39</v>
      </c>
    </row>
    <row r="26" spans="2:4" ht="12.75" customHeight="1" thickBot="1">
      <c r="B26" s="6"/>
      <c r="C26" s="7"/>
      <c r="D26" s="5"/>
    </row>
    <row r="27" spans="2:12" ht="12.75">
      <c r="B27" s="46" t="s">
        <v>34</v>
      </c>
      <c r="C27" s="47">
        <v>1</v>
      </c>
      <c r="D27" s="47">
        <v>2</v>
      </c>
      <c r="E27" s="47">
        <v>3</v>
      </c>
      <c r="F27" s="47">
        <v>4</v>
      </c>
      <c r="G27" s="47">
        <v>5</v>
      </c>
      <c r="H27" s="47">
        <v>6</v>
      </c>
      <c r="I27" s="47">
        <v>7</v>
      </c>
      <c r="J27" s="47">
        <v>8</v>
      </c>
      <c r="K27" s="47">
        <v>9</v>
      </c>
      <c r="L27" s="48">
        <v>10</v>
      </c>
    </row>
    <row r="28" spans="2:12" ht="15.75">
      <c r="B28" s="49" t="s">
        <v>31</v>
      </c>
      <c r="C28" s="50">
        <v>14</v>
      </c>
      <c r="D28" s="50"/>
      <c r="E28" s="50"/>
      <c r="F28" s="50">
        <v>16</v>
      </c>
      <c r="G28" s="50"/>
      <c r="H28" s="50"/>
      <c r="I28" s="50">
        <v>18</v>
      </c>
      <c r="J28" s="50"/>
      <c r="K28" s="50"/>
      <c r="L28" s="51"/>
    </row>
    <row r="29" spans="2:12" ht="12.75">
      <c r="B29" s="52" t="s">
        <v>14</v>
      </c>
      <c r="C29" s="3">
        <f>C28</f>
        <v>14</v>
      </c>
      <c r="D29" s="3">
        <f aca="true" t="shared" si="0" ref="D29:L29">IF(D28="",C29,D28)</f>
        <v>14</v>
      </c>
      <c r="E29" s="3">
        <f t="shared" si="0"/>
        <v>14</v>
      </c>
      <c r="F29" s="3">
        <f t="shared" si="0"/>
        <v>16</v>
      </c>
      <c r="G29" s="3">
        <f t="shared" si="0"/>
        <v>16</v>
      </c>
      <c r="H29" s="3">
        <f t="shared" si="0"/>
        <v>16</v>
      </c>
      <c r="I29" s="3">
        <f t="shared" si="0"/>
        <v>18</v>
      </c>
      <c r="J29" s="3">
        <f t="shared" si="0"/>
        <v>18</v>
      </c>
      <c r="K29" s="3">
        <f t="shared" si="0"/>
        <v>18</v>
      </c>
      <c r="L29" s="53">
        <f t="shared" si="0"/>
        <v>18</v>
      </c>
    </row>
    <row r="30" spans="2:12" ht="12.75">
      <c r="B30" s="52" t="s">
        <v>8</v>
      </c>
      <c r="C30" s="3">
        <v>1</v>
      </c>
      <c r="D30" s="11">
        <f aca="true" t="shared" si="1" ref="D30:L30">C30+0.1*($C$12)</f>
        <v>5</v>
      </c>
      <c r="E30" s="11">
        <f t="shared" si="1"/>
        <v>9</v>
      </c>
      <c r="F30" s="11">
        <f t="shared" si="1"/>
        <v>13</v>
      </c>
      <c r="G30" s="11">
        <f t="shared" si="1"/>
        <v>17</v>
      </c>
      <c r="H30" s="11">
        <f t="shared" si="1"/>
        <v>21</v>
      </c>
      <c r="I30" s="11">
        <f t="shared" si="1"/>
        <v>25</v>
      </c>
      <c r="J30" s="11">
        <f t="shared" si="1"/>
        <v>29</v>
      </c>
      <c r="K30" s="11">
        <f t="shared" si="1"/>
        <v>33</v>
      </c>
      <c r="L30" s="54">
        <f t="shared" si="1"/>
        <v>37</v>
      </c>
    </row>
    <row r="31" spans="2:12" ht="12.75">
      <c r="B31" s="55" t="s">
        <v>29</v>
      </c>
      <c r="C31" s="13">
        <f>IF(VLOOKUP(C29,'Wire Table'!$B$4:$H$31,7)&gt;C40,VLOOKUP(C29,'Wire Table'!$B$4:$I$31,7)-C40,0)</f>
        <v>2.5033342857142875</v>
      </c>
      <c r="D31" s="13">
        <f>IF(VLOOKUP(D29,'Wire Table'!$B$4:$H$31,7)&gt;D40,VLOOKUP(D29,'Wire Table'!$B$4:$I$31,7)-D40,0)</f>
        <v>3.0747628571428587</v>
      </c>
      <c r="E31" s="13">
        <f>IF(VLOOKUP(E29,'Wire Table'!$B$4:$H$31,7)&gt;E40,VLOOKUP(E29,'Wire Table'!$B$4:$I$31,7)-E40,0)</f>
        <v>3.6461914285714307</v>
      </c>
      <c r="F31" s="13">
        <f>IF(VLOOKUP(F29,'Wire Table'!$B$4:$H$31,7)&gt;F40,VLOOKUP(F29,'Wire Table'!$B$4:$I$31,7)-F40,0)</f>
        <v>1.1612799999999996</v>
      </c>
      <c r="G31" s="13">
        <f>IF(VLOOKUP(G29,'Wire Table'!$B$4:$H$31,7)&gt;G40,VLOOKUP(G29,'Wire Table'!$B$4:$I$31,7)-G40,0)</f>
        <v>1.7327085714285713</v>
      </c>
      <c r="H31" s="13">
        <f>IF(VLOOKUP(H29,'Wire Table'!$B$4:$H$31,7)&gt;H40,VLOOKUP(H29,'Wire Table'!$B$4:$I$31,7)-H40,0)</f>
        <v>2.3041371428571424</v>
      </c>
      <c r="I31" s="13">
        <f>IF(VLOOKUP(I29,'Wire Table'!$B$4:$H$31,7)&gt;I40,VLOOKUP(I29,'Wire Table'!$B$4:$I$31,7)-I40,0)</f>
        <v>0.9624657142857154</v>
      </c>
      <c r="J31" s="13">
        <f>IF(VLOOKUP(J29,'Wire Table'!$B$4:$H$31,7)&gt;J40,VLOOKUP(J29,'Wire Table'!$B$4:$I$31,7)-J40,0)</f>
        <v>1.5338942857142868</v>
      </c>
      <c r="K31" s="13">
        <f>IF(VLOOKUP(K29,'Wire Table'!$B$4:$H$31,7)&gt;K40,VLOOKUP(K29,'Wire Table'!$B$4:$I$31,7)-K40,0)</f>
        <v>2.105322857142858</v>
      </c>
      <c r="L31" s="13">
        <f>IF(VLOOKUP(L29,'Wire Table'!$B$4:$H$31,7)&gt;L40,VLOOKUP(L29,'Wire Table'!$B$4:$I$31,7)-L40,0)</f>
        <v>2.6767514285714293</v>
      </c>
    </row>
    <row r="32" spans="2:14" ht="12.75">
      <c r="B32" s="55" t="str">
        <f>IF(C11="m","Cable Segment Lengths - m","Cable Segment Lengths - ft")</f>
        <v>Cable Segment Lengths - ft</v>
      </c>
      <c r="C32" s="14">
        <f>C14</f>
        <v>40</v>
      </c>
      <c r="D32" s="14">
        <f aca="true" t="shared" si="2" ref="D32:L32">(C37-D37)*$C$18</f>
        <v>28.88888888888889</v>
      </c>
      <c r="E32" s="14">
        <f t="shared" si="2"/>
        <v>28.88888888888889</v>
      </c>
      <c r="F32" s="14">
        <f t="shared" si="2"/>
        <v>28.88888888888889</v>
      </c>
      <c r="G32" s="14">
        <f t="shared" si="2"/>
        <v>28.88888888888889</v>
      </c>
      <c r="H32" s="14">
        <f t="shared" si="2"/>
        <v>28.88888888888889</v>
      </c>
      <c r="I32" s="14">
        <f t="shared" si="2"/>
        <v>28.88888888888889</v>
      </c>
      <c r="J32" s="14">
        <f t="shared" si="2"/>
        <v>28.88888888888889</v>
      </c>
      <c r="K32" s="14">
        <f t="shared" si="2"/>
        <v>28.88888888888889</v>
      </c>
      <c r="L32" s="56">
        <f t="shared" si="2"/>
        <v>28.88888888888889</v>
      </c>
      <c r="M32" s="4"/>
      <c r="N32" s="5"/>
    </row>
    <row r="33" spans="2:12" ht="12.75">
      <c r="B33" s="55" t="str">
        <f>IF(C11="m","Running Total - m","Running Total - ft")</f>
        <v>Running Total - ft</v>
      </c>
      <c r="C33" s="14">
        <f>C32</f>
        <v>40</v>
      </c>
      <c r="D33" s="14">
        <f aca="true" t="shared" si="3" ref="D33:L33">C33+D32</f>
        <v>68.88888888888889</v>
      </c>
      <c r="E33" s="14">
        <f t="shared" si="3"/>
        <v>97.77777777777777</v>
      </c>
      <c r="F33" s="14">
        <f t="shared" si="3"/>
        <v>126.66666666666666</v>
      </c>
      <c r="G33" s="14">
        <f t="shared" si="3"/>
        <v>155.55555555555554</v>
      </c>
      <c r="H33" s="14">
        <f t="shared" si="3"/>
        <v>184.44444444444443</v>
      </c>
      <c r="I33" s="14">
        <f t="shared" si="3"/>
        <v>213.33333333333331</v>
      </c>
      <c r="J33" s="14">
        <f t="shared" si="3"/>
        <v>242.2222222222222</v>
      </c>
      <c r="K33" s="14">
        <f t="shared" si="3"/>
        <v>271.1111111111111</v>
      </c>
      <c r="L33" s="56">
        <f t="shared" si="3"/>
        <v>300</v>
      </c>
    </row>
    <row r="34" spans="2:12" ht="13.5" thickBot="1">
      <c r="B34" s="57" t="s">
        <v>34</v>
      </c>
      <c r="C34" s="58">
        <f aca="true" t="shared" si="4" ref="C34:L34">C27</f>
        <v>1</v>
      </c>
      <c r="D34" s="58">
        <f t="shared" si="4"/>
        <v>2</v>
      </c>
      <c r="E34" s="58">
        <f t="shared" si="4"/>
        <v>3</v>
      </c>
      <c r="F34" s="58">
        <f t="shared" si="4"/>
        <v>4</v>
      </c>
      <c r="G34" s="58">
        <f t="shared" si="4"/>
        <v>5</v>
      </c>
      <c r="H34" s="58">
        <f t="shared" si="4"/>
        <v>6</v>
      </c>
      <c r="I34" s="58">
        <f t="shared" si="4"/>
        <v>7</v>
      </c>
      <c r="J34" s="58">
        <f t="shared" si="4"/>
        <v>8</v>
      </c>
      <c r="K34" s="58">
        <f t="shared" si="4"/>
        <v>9</v>
      </c>
      <c r="L34" s="59">
        <f t="shared" si="4"/>
        <v>10</v>
      </c>
    </row>
    <row r="35" ht="13.5" thickBot="1"/>
    <row r="36" spans="2:12" ht="13.5" thickBot="1">
      <c r="B36" s="60" t="s">
        <v>24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2:12" ht="12.75">
      <c r="B37" s="62" t="s">
        <v>18</v>
      </c>
      <c r="C37" s="63">
        <f>C12</f>
        <v>40</v>
      </c>
      <c r="D37" s="63">
        <f aca="true" t="shared" si="5" ref="D37:K37">E37+$C$12*0.1</f>
        <v>36</v>
      </c>
      <c r="E37" s="63">
        <f t="shared" si="5"/>
        <v>32</v>
      </c>
      <c r="F37" s="63">
        <f t="shared" si="5"/>
        <v>28</v>
      </c>
      <c r="G37" s="63">
        <f t="shared" si="5"/>
        <v>24</v>
      </c>
      <c r="H37" s="63">
        <f t="shared" si="5"/>
        <v>20</v>
      </c>
      <c r="I37" s="63">
        <f t="shared" si="5"/>
        <v>16</v>
      </c>
      <c r="J37" s="63">
        <f t="shared" si="5"/>
        <v>12</v>
      </c>
      <c r="K37" s="63">
        <f t="shared" si="5"/>
        <v>8</v>
      </c>
      <c r="L37" s="64">
        <f>$C$12*0.1</f>
        <v>4</v>
      </c>
    </row>
    <row r="38" spans="2:12" ht="12.75">
      <c r="B38" s="65" t="s">
        <v>25</v>
      </c>
      <c r="C38" s="66">
        <f>VLOOKUP(C29,'Wire Table'!$B$4:$I$31,(IF($C$11="m",5,4)))*C32/500</f>
        <v>0.202</v>
      </c>
      <c r="D38" s="66">
        <f>VLOOKUP(D29,'Wire Table'!$B$4:$I$31,(IF($C$11="m",5,4)))*D32/500</f>
        <v>0.14588888888888887</v>
      </c>
      <c r="E38" s="66">
        <f>VLOOKUP(E29,'Wire Table'!$B$4:$I$31,(IF($C$11="m",5,4)))*E32/500</f>
        <v>0.14588888888888887</v>
      </c>
      <c r="F38" s="66">
        <f>VLOOKUP(F29,'Wire Table'!$B$4:$I$31,(IF($C$11="m",5,4)))*F32/500</f>
        <v>0.23203555555555555</v>
      </c>
      <c r="G38" s="66">
        <f>VLOOKUP(G29,'Wire Table'!$B$4:$I$31,(IF($C$11="m",5,4)))*G32/500</f>
        <v>0.23203555555555555</v>
      </c>
      <c r="H38" s="66">
        <f>VLOOKUP(H29,'Wire Table'!$B$4:$I$31,(IF($C$11="m",5,4)))*H32/500</f>
        <v>0.23203555555555555</v>
      </c>
      <c r="I38" s="66">
        <f>VLOOKUP(I29,'Wire Table'!$B$4:$I$31,(IF($C$11="m",5,4)))*I32/500</f>
        <v>0.3689111111111111</v>
      </c>
      <c r="J38" s="66">
        <f>VLOOKUP(J29,'Wire Table'!$B$4:$I$31,(IF($C$11="m",5,4)))*J32/500</f>
        <v>0.3689111111111111</v>
      </c>
      <c r="K38" s="66">
        <f>VLOOKUP(K29,'Wire Table'!$B$4:$I$31,(IF($C$11="m",5,4)))*K32/500</f>
        <v>0.3689111111111111</v>
      </c>
      <c r="L38" s="66">
        <f>VLOOKUP(L29,'Wire Table'!$B$4:$I$31,(IF($C$11="m",5,4)))*L32/500</f>
        <v>0.3689111111111111</v>
      </c>
    </row>
    <row r="39" spans="2:12" ht="12.75">
      <c r="B39" s="65" t="s">
        <v>19</v>
      </c>
      <c r="C39" s="68">
        <f>$C$20/$C$12</f>
        <v>12.25</v>
      </c>
      <c r="D39" s="68">
        <f>$C$20/(0.9*$C$12)</f>
        <v>13.61111111111111</v>
      </c>
      <c r="E39" s="68">
        <f>$C$20/(0.8*$C$12)</f>
        <v>15.3125</v>
      </c>
      <c r="F39" s="68">
        <f>$C$20/(0.7*$C$12)</f>
        <v>17.5</v>
      </c>
      <c r="G39" s="68">
        <f>$C$20/(0.6*$C$12)</f>
        <v>20.416666666666668</v>
      </c>
      <c r="H39" s="68">
        <f>$C$20/(0.5*$C$12)</f>
        <v>24.5</v>
      </c>
      <c r="I39" s="68">
        <f>$C$20/(0.4*$C$12)</f>
        <v>30.625</v>
      </c>
      <c r="J39" s="68">
        <f>$C$20/(0.3*$C$12)</f>
        <v>40.833333333333336</v>
      </c>
      <c r="K39" s="68">
        <f>$C$20/(0.2*$C$12)</f>
        <v>61.25</v>
      </c>
      <c r="L39" s="69">
        <f>$C$20/(0.1*$C$12)</f>
        <v>122.5</v>
      </c>
    </row>
    <row r="40" spans="2:12" ht="12.75">
      <c r="B40" s="65" t="s">
        <v>26</v>
      </c>
      <c r="C40" s="68">
        <f aca="true" t="shared" si="6" ref="C40:L40">$C$16/C39</f>
        <v>5.714285714285714</v>
      </c>
      <c r="D40" s="68">
        <f t="shared" si="6"/>
        <v>5.142857142857143</v>
      </c>
      <c r="E40" s="68">
        <f t="shared" si="6"/>
        <v>4.571428571428571</v>
      </c>
      <c r="F40" s="68">
        <f t="shared" si="6"/>
        <v>4</v>
      </c>
      <c r="G40" s="68">
        <f t="shared" si="6"/>
        <v>3.4285714285714284</v>
      </c>
      <c r="H40" s="68">
        <f t="shared" si="6"/>
        <v>2.857142857142857</v>
      </c>
      <c r="I40" s="68">
        <f t="shared" si="6"/>
        <v>2.2857142857142856</v>
      </c>
      <c r="J40" s="68">
        <f t="shared" si="6"/>
        <v>1.7142857142857142</v>
      </c>
      <c r="K40" s="68">
        <f t="shared" si="6"/>
        <v>1.1428571428571428</v>
      </c>
      <c r="L40" s="69">
        <f t="shared" si="6"/>
        <v>0.5714285714285714</v>
      </c>
    </row>
    <row r="41" spans="2:12" ht="12.75">
      <c r="B41" s="65" t="s">
        <v>17</v>
      </c>
      <c r="C41" s="66">
        <f aca="true" t="shared" si="7" ref="C41:L41">(C39)/(C39+C38)</f>
        <v>0.9837777063925474</v>
      </c>
      <c r="D41" s="66">
        <f t="shared" si="7"/>
        <v>0.9893952977474094</v>
      </c>
      <c r="E41" s="66">
        <f t="shared" si="7"/>
        <v>0.9905624777628832</v>
      </c>
      <c r="F41" s="66">
        <f t="shared" si="7"/>
        <v>0.9869143305725633</v>
      </c>
      <c r="G41" s="66">
        <f t="shared" si="7"/>
        <v>0.9887627051299216</v>
      </c>
      <c r="H41" s="66">
        <f t="shared" si="7"/>
        <v>0.9906180162553004</v>
      </c>
      <c r="I41" s="66">
        <f t="shared" si="7"/>
        <v>0.9880973036997949</v>
      </c>
      <c r="J41" s="66">
        <f t="shared" si="7"/>
        <v>0.9910463345847934</v>
      </c>
      <c r="K41" s="66">
        <f t="shared" si="7"/>
        <v>0.9940130212550188</v>
      </c>
      <c r="L41" s="67">
        <f t="shared" si="7"/>
        <v>0.9969975227437516</v>
      </c>
    </row>
    <row r="42" spans="2:12" ht="12.75">
      <c r="B42" s="65" t="s">
        <v>20</v>
      </c>
      <c r="C42" s="68">
        <f>C16*C41</f>
        <v>68.86443944747832</v>
      </c>
      <c r="D42" s="68">
        <f aca="true" t="shared" si="8" ref="D42:L42">C42*D41</f>
        <v>68.13415257134626</v>
      </c>
      <c r="E42" s="68">
        <f t="shared" si="8"/>
        <v>67.49113499134707</v>
      </c>
      <c r="F42" s="68">
        <f t="shared" si="8"/>
        <v>66.6079683095678</v>
      </c>
      <c r="G42" s="68">
        <f t="shared" si="8"/>
        <v>65.85947492897634</v>
      </c>
      <c r="H42" s="68">
        <f t="shared" si="8"/>
        <v>65.24158240575824</v>
      </c>
      <c r="I42" s="68">
        <f t="shared" si="8"/>
        <v>64.46503166423769</v>
      </c>
      <c r="J42" s="68">
        <f t="shared" si="8"/>
        <v>63.8878333397354</v>
      </c>
      <c r="K42" s="68">
        <f t="shared" si="8"/>
        <v>63.505338239467505</v>
      </c>
      <c r="L42" s="69">
        <f t="shared" si="8"/>
        <v>63.31466490575315</v>
      </c>
    </row>
    <row r="43" spans="2:13" ht="12.75">
      <c r="B43" s="70" t="s">
        <v>21</v>
      </c>
      <c r="C43" s="1">
        <f>20*LOG(C41)</f>
        <v>-0.14206046619852813</v>
      </c>
      <c r="D43" s="1">
        <f aca="true" t="shared" si="9" ref="D43:L43">20*LOG(D41)+C43</f>
        <v>-0.23466362655716064</v>
      </c>
      <c r="E43" s="1">
        <f t="shared" si="9"/>
        <v>-0.3170261665329771</v>
      </c>
      <c r="F43" s="1">
        <f t="shared" si="9"/>
        <v>-0.4314370619626545</v>
      </c>
      <c r="G43" s="1">
        <f t="shared" si="9"/>
        <v>-0.5295955215852126</v>
      </c>
      <c r="H43" s="1">
        <f t="shared" si="9"/>
        <v>-0.611471077949608</v>
      </c>
      <c r="I43" s="1">
        <f t="shared" si="9"/>
        <v>-0.7154767939075117</v>
      </c>
      <c r="J43" s="1">
        <f t="shared" si="9"/>
        <v>-0.793597601596842</v>
      </c>
      <c r="K43" s="1">
        <f t="shared" si="9"/>
        <v>-0.845756130508479</v>
      </c>
      <c r="L43" s="71">
        <f t="shared" si="9"/>
        <v>-0.8718745462223159</v>
      </c>
      <c r="M43" s="72"/>
    </row>
    <row r="44" spans="2:12" ht="13.5" thickBot="1">
      <c r="B44" s="73" t="s">
        <v>22</v>
      </c>
      <c r="C44" s="74">
        <v>0</v>
      </c>
      <c r="D44" s="75">
        <f aca="true" t="shared" si="10" ref="D44:L44">D43-$C$43</f>
        <v>-0.0926031603586325</v>
      </c>
      <c r="E44" s="75">
        <f t="shared" si="10"/>
        <v>-0.17496570033444897</v>
      </c>
      <c r="F44" s="75">
        <f t="shared" si="10"/>
        <v>-0.2893765957641264</v>
      </c>
      <c r="G44" s="75">
        <f t="shared" si="10"/>
        <v>-0.3875350553866845</v>
      </c>
      <c r="H44" s="75">
        <f t="shared" si="10"/>
        <v>-0.46941061175107984</v>
      </c>
      <c r="I44" s="75">
        <f t="shared" si="10"/>
        <v>-0.5734163277089837</v>
      </c>
      <c r="J44" s="75">
        <f t="shared" si="10"/>
        <v>-0.6515371353983139</v>
      </c>
      <c r="K44" s="75">
        <f t="shared" si="10"/>
        <v>-0.7036956643099508</v>
      </c>
      <c r="L44" s="76">
        <f t="shared" si="10"/>
        <v>-0.7298140800237878</v>
      </c>
    </row>
    <row r="45" ht="13.5" thickBot="1"/>
    <row r="46" spans="2:4" ht="12.75">
      <c r="B46" s="62" t="s">
        <v>28</v>
      </c>
      <c r="C46" s="77">
        <f>MIN(C31:L31)</f>
        <v>0.9624657142857154</v>
      </c>
      <c r="D46" s="78" t="s">
        <v>27</v>
      </c>
    </row>
    <row r="47" spans="2:4" ht="13.5" thickBot="1">
      <c r="B47" s="79" t="s">
        <v>40</v>
      </c>
      <c r="C47" s="80" t="str">
        <f>"# "&amp;HLOOKUP(C46,C31:L34,4,FALSE)</f>
        <v># 7</v>
      </c>
      <c r="D47" s="81"/>
    </row>
    <row r="48" spans="3:6" ht="12.75">
      <c r="C48" s="82"/>
      <c r="D48" s="83"/>
      <c r="E48" s="84"/>
      <c r="F48" s="83"/>
    </row>
    <row r="49" spans="3:6" ht="12.75">
      <c r="C49" s="82"/>
      <c r="D49" s="83"/>
      <c r="E49" s="84"/>
      <c r="F49" s="83"/>
    </row>
    <row r="50" spans="3:6" ht="12.75">
      <c r="C50" s="82"/>
      <c r="D50" s="83"/>
      <c r="E50" s="84"/>
      <c r="F50" s="83"/>
    </row>
    <row r="51" spans="3:6" ht="12.75">
      <c r="C51" s="82"/>
      <c r="D51" s="83"/>
      <c r="E51" s="84"/>
      <c r="F51" s="83"/>
    </row>
    <row r="52" spans="3:6" ht="12.75">
      <c r="C52" s="82"/>
      <c r="D52" s="83"/>
      <c r="E52" s="84"/>
      <c r="F52" s="83"/>
    </row>
    <row r="53" spans="3:6" ht="12.75">
      <c r="C53" s="82"/>
      <c r="D53" s="83"/>
      <c r="E53" s="84"/>
      <c r="F53" s="83"/>
    </row>
    <row r="54" spans="3:6" ht="12.75">
      <c r="C54" s="82"/>
      <c r="D54" s="83"/>
      <c r="E54" s="84"/>
      <c r="F54" s="83"/>
    </row>
    <row r="59" spans="3:12" ht="12.75"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sheetProtection password="CF3B" sheet="1" objects="1" scenarios="1"/>
  <printOptions/>
  <pageMargins left="0.75" right="0.75" top="0.67" bottom="0.72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1.140625" style="86" bestFit="1" customWidth="1"/>
    <col min="3" max="3" width="12.140625" style="86" bestFit="1" customWidth="1"/>
    <col min="4" max="4" width="15.421875" style="86" bestFit="1" customWidth="1"/>
    <col min="5" max="5" width="12.28125" style="86" bestFit="1" customWidth="1"/>
    <col min="6" max="6" width="12.140625" style="86" customWidth="1"/>
    <col min="7" max="7" width="14.00390625" style="86" customWidth="1"/>
    <col min="8" max="8" width="15.140625" style="86" customWidth="1"/>
    <col min="9" max="9" width="12.57421875" style="86" customWidth="1"/>
    <col min="10" max="16384" width="9.140625" style="86" customWidth="1"/>
  </cols>
  <sheetData>
    <row r="1" ht="18">
      <c r="A1" s="85"/>
    </row>
    <row r="2" ht="12.75">
      <c r="B2" s="87" t="s">
        <v>66</v>
      </c>
    </row>
    <row r="3" spans="2:9" ht="38.25">
      <c r="B3" s="88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51</v>
      </c>
      <c r="H3" s="90" t="s">
        <v>50</v>
      </c>
      <c r="I3" s="91" t="s">
        <v>45</v>
      </c>
    </row>
    <row r="4" spans="2:9" ht="12.75">
      <c r="B4" s="92" t="s">
        <v>42</v>
      </c>
      <c r="C4" s="93">
        <v>0.46</v>
      </c>
      <c r="D4" s="94">
        <v>11.684</v>
      </c>
      <c r="E4" s="94">
        <v>0.049</v>
      </c>
      <c r="F4" s="94">
        <v>0.16072</v>
      </c>
      <c r="G4" s="95">
        <f aca="true" t="shared" si="0" ref="G4:G25">(1000*C4)^2</f>
        <v>211600</v>
      </c>
      <c r="H4" s="96">
        <f aca="true" t="shared" si="1" ref="H4:H31">(1000*C4)^2/500</f>
        <v>423.2</v>
      </c>
      <c r="I4" s="97" t="s">
        <v>42</v>
      </c>
    </row>
    <row r="5" spans="2:9" ht="12.75">
      <c r="B5" s="92" t="s">
        <v>43</v>
      </c>
      <c r="C5" s="93">
        <v>0.4096</v>
      </c>
      <c r="D5" s="94">
        <v>10.40384</v>
      </c>
      <c r="E5" s="94">
        <v>0.0618</v>
      </c>
      <c r="F5" s="94">
        <v>0.202704</v>
      </c>
      <c r="G5" s="95">
        <f t="shared" si="0"/>
        <v>167772.16000000003</v>
      </c>
      <c r="H5" s="96">
        <f t="shared" si="1"/>
        <v>335.5443200000001</v>
      </c>
      <c r="I5" s="97" t="s">
        <v>43</v>
      </c>
    </row>
    <row r="6" spans="2:9" ht="12.75">
      <c r="B6" s="92" t="s">
        <v>44</v>
      </c>
      <c r="C6" s="93">
        <v>0.3648</v>
      </c>
      <c r="D6" s="94">
        <v>9.26592</v>
      </c>
      <c r="E6" s="94">
        <v>0.0779</v>
      </c>
      <c r="F6" s="94">
        <v>0.255512</v>
      </c>
      <c r="G6" s="95">
        <f t="shared" si="0"/>
        <v>133079.04</v>
      </c>
      <c r="H6" s="96">
        <f t="shared" si="1"/>
        <v>266.15808000000004</v>
      </c>
      <c r="I6" s="97" t="s">
        <v>44</v>
      </c>
    </row>
    <row r="7" spans="2:9" ht="12.75">
      <c r="B7" s="88">
        <v>0</v>
      </c>
      <c r="C7" s="93">
        <v>0.3249</v>
      </c>
      <c r="D7" s="94">
        <v>8.25246</v>
      </c>
      <c r="E7" s="94">
        <v>0.0983</v>
      </c>
      <c r="F7" s="94">
        <v>0.322424</v>
      </c>
      <c r="G7" s="95">
        <f t="shared" si="0"/>
        <v>105560.01000000002</v>
      </c>
      <c r="H7" s="96">
        <f t="shared" si="1"/>
        <v>211.12002000000004</v>
      </c>
      <c r="I7" s="91">
        <v>0</v>
      </c>
    </row>
    <row r="8" spans="2:9" ht="12.75">
      <c r="B8" s="88">
        <v>1</v>
      </c>
      <c r="C8" s="93">
        <v>0.2893</v>
      </c>
      <c r="D8" s="94">
        <v>7.34822</v>
      </c>
      <c r="E8" s="94">
        <v>0.1239</v>
      </c>
      <c r="F8" s="94">
        <v>0.406392</v>
      </c>
      <c r="G8" s="95">
        <f t="shared" si="0"/>
        <v>83694.49</v>
      </c>
      <c r="H8" s="96">
        <f t="shared" si="1"/>
        <v>167.38898</v>
      </c>
      <c r="I8" s="91">
        <v>1</v>
      </c>
    </row>
    <row r="9" spans="2:19" ht="12.75">
      <c r="B9" s="88">
        <v>2</v>
      </c>
      <c r="C9" s="93">
        <v>0.2576</v>
      </c>
      <c r="D9" s="94">
        <v>6.54304</v>
      </c>
      <c r="E9" s="94">
        <v>0.1563</v>
      </c>
      <c r="F9" s="94">
        <v>0.512664</v>
      </c>
      <c r="G9" s="95">
        <f t="shared" si="0"/>
        <v>66357.76000000001</v>
      </c>
      <c r="H9" s="96">
        <f t="shared" si="1"/>
        <v>132.71552000000003</v>
      </c>
      <c r="I9" s="91">
        <v>2</v>
      </c>
      <c r="L9"/>
      <c r="M9"/>
      <c r="N9"/>
      <c r="O9"/>
      <c r="P9"/>
      <c r="Q9"/>
      <c r="R9"/>
      <c r="S9"/>
    </row>
    <row r="10" spans="2:19" ht="12.75">
      <c r="B10" s="88">
        <v>3</v>
      </c>
      <c r="C10" s="93">
        <v>0.2294</v>
      </c>
      <c r="D10" s="94">
        <v>5.82676</v>
      </c>
      <c r="E10" s="94">
        <v>0.197</v>
      </c>
      <c r="F10" s="94">
        <v>0.64616</v>
      </c>
      <c r="G10" s="95">
        <f t="shared" si="0"/>
        <v>52624.36</v>
      </c>
      <c r="H10" s="96">
        <f t="shared" si="1"/>
        <v>105.24872</v>
      </c>
      <c r="I10" s="91">
        <v>3</v>
      </c>
      <c r="L10"/>
      <c r="M10"/>
      <c r="N10"/>
      <c r="O10"/>
      <c r="P10"/>
      <c r="Q10"/>
      <c r="R10"/>
      <c r="S10"/>
    </row>
    <row r="11" spans="2:19" ht="12.75">
      <c r="B11" s="88">
        <v>4</v>
      </c>
      <c r="C11" s="93">
        <v>0.2043</v>
      </c>
      <c r="D11" s="94">
        <v>5.18922</v>
      </c>
      <c r="E11" s="94">
        <v>0.2485</v>
      </c>
      <c r="F11" s="94">
        <v>0.81508</v>
      </c>
      <c r="G11" s="95">
        <f t="shared" si="0"/>
        <v>41738.490000000005</v>
      </c>
      <c r="H11" s="96">
        <f t="shared" si="1"/>
        <v>83.47698000000001</v>
      </c>
      <c r="I11" s="91">
        <v>4</v>
      </c>
      <c r="L11"/>
      <c r="M11"/>
      <c r="N11"/>
      <c r="O11"/>
      <c r="P11"/>
      <c r="Q11"/>
      <c r="R11"/>
      <c r="S11"/>
    </row>
    <row r="12" spans="2:19" ht="12.75">
      <c r="B12" s="88">
        <v>5</v>
      </c>
      <c r="C12" s="93">
        <v>0.1819</v>
      </c>
      <c r="D12" s="94">
        <v>4.62026</v>
      </c>
      <c r="E12" s="94">
        <v>0.3133</v>
      </c>
      <c r="F12" s="94">
        <v>1.027624</v>
      </c>
      <c r="G12" s="95">
        <f t="shared" si="0"/>
        <v>33087.61</v>
      </c>
      <c r="H12" s="96">
        <f t="shared" si="1"/>
        <v>66.17522</v>
      </c>
      <c r="I12" s="91">
        <v>5</v>
      </c>
      <c r="L12"/>
      <c r="M12"/>
      <c r="N12"/>
      <c r="O12"/>
      <c r="P12"/>
      <c r="Q12"/>
      <c r="R12"/>
      <c r="S12"/>
    </row>
    <row r="13" spans="2:19" ht="12.75">
      <c r="B13" s="88">
        <v>6</v>
      </c>
      <c r="C13" s="93">
        <v>0.162</v>
      </c>
      <c r="D13" s="94">
        <v>4.1148</v>
      </c>
      <c r="E13" s="94">
        <v>0.3951</v>
      </c>
      <c r="F13" s="94">
        <v>1.295928</v>
      </c>
      <c r="G13" s="95">
        <f t="shared" si="0"/>
        <v>26244</v>
      </c>
      <c r="H13" s="96">
        <f t="shared" si="1"/>
        <v>52.488</v>
      </c>
      <c r="I13" s="91">
        <v>6</v>
      </c>
      <c r="L13"/>
      <c r="M13"/>
      <c r="N13"/>
      <c r="O13"/>
      <c r="P13"/>
      <c r="Q13"/>
      <c r="R13"/>
      <c r="S13"/>
    </row>
    <row r="14" spans="2:19" ht="12.75">
      <c r="B14" s="88">
        <v>7</v>
      </c>
      <c r="C14" s="93">
        <v>0.1443</v>
      </c>
      <c r="D14" s="94">
        <v>3.66522</v>
      </c>
      <c r="E14" s="94">
        <v>0.4982</v>
      </c>
      <c r="F14" s="94">
        <v>1.634096</v>
      </c>
      <c r="G14" s="95">
        <f t="shared" si="0"/>
        <v>20822.49</v>
      </c>
      <c r="H14" s="96">
        <f t="shared" si="1"/>
        <v>41.644980000000004</v>
      </c>
      <c r="I14" s="91">
        <v>7</v>
      </c>
      <c r="L14"/>
      <c r="M14"/>
      <c r="N14"/>
      <c r="O14"/>
      <c r="P14"/>
      <c r="Q14"/>
      <c r="R14"/>
      <c r="S14"/>
    </row>
    <row r="15" spans="2:19" ht="12.75">
      <c r="B15" s="88">
        <v>8</v>
      </c>
      <c r="C15" s="93">
        <v>0.1285</v>
      </c>
      <c r="D15" s="94">
        <v>3.2639</v>
      </c>
      <c r="E15" s="94">
        <v>0.6282</v>
      </c>
      <c r="F15" s="94">
        <v>2.060496</v>
      </c>
      <c r="G15" s="95">
        <f t="shared" si="0"/>
        <v>16512.25</v>
      </c>
      <c r="H15" s="96">
        <f t="shared" si="1"/>
        <v>33.0245</v>
      </c>
      <c r="I15" s="91">
        <v>8</v>
      </c>
      <c r="L15"/>
      <c r="M15"/>
      <c r="N15"/>
      <c r="O15"/>
      <c r="P15"/>
      <c r="Q15"/>
      <c r="R15"/>
      <c r="S15"/>
    </row>
    <row r="16" spans="2:19" ht="12.75">
      <c r="B16" s="88">
        <v>9</v>
      </c>
      <c r="C16" s="93">
        <v>0.1144</v>
      </c>
      <c r="D16" s="94">
        <v>2.90576</v>
      </c>
      <c r="E16" s="94">
        <v>0.7921</v>
      </c>
      <c r="F16" s="94">
        <v>2.598088</v>
      </c>
      <c r="G16" s="95">
        <f t="shared" si="0"/>
        <v>13087.36</v>
      </c>
      <c r="H16" s="96">
        <f t="shared" si="1"/>
        <v>26.17472</v>
      </c>
      <c r="I16" s="91">
        <v>9</v>
      </c>
      <c r="L16"/>
      <c r="M16"/>
      <c r="N16"/>
      <c r="O16"/>
      <c r="P16"/>
      <c r="Q16"/>
      <c r="R16"/>
      <c r="S16"/>
    </row>
    <row r="17" spans="2:19" ht="12.75">
      <c r="B17" s="88">
        <v>10</v>
      </c>
      <c r="C17" s="93">
        <v>0.1019</v>
      </c>
      <c r="D17" s="94">
        <v>2.58826</v>
      </c>
      <c r="E17" s="94">
        <v>0.9989</v>
      </c>
      <c r="F17" s="94">
        <v>3.276392</v>
      </c>
      <c r="G17" s="95">
        <f t="shared" si="0"/>
        <v>10383.61</v>
      </c>
      <c r="H17" s="96">
        <f t="shared" si="1"/>
        <v>20.767220000000002</v>
      </c>
      <c r="I17" s="91">
        <v>10</v>
      </c>
      <c r="L17"/>
      <c r="M17"/>
      <c r="N17"/>
      <c r="O17"/>
      <c r="P17"/>
      <c r="Q17"/>
      <c r="R17"/>
      <c r="S17"/>
    </row>
    <row r="18" spans="2:9" ht="12.75">
      <c r="B18" s="88">
        <v>11</v>
      </c>
      <c r="C18" s="93">
        <v>0.0907</v>
      </c>
      <c r="D18" s="94">
        <v>2.30378</v>
      </c>
      <c r="E18" s="94">
        <v>1.26</v>
      </c>
      <c r="F18" s="94">
        <v>4.1328</v>
      </c>
      <c r="G18" s="95">
        <f t="shared" si="0"/>
        <v>8226.49</v>
      </c>
      <c r="H18" s="96">
        <f t="shared" si="1"/>
        <v>16.45298</v>
      </c>
      <c r="I18" s="91">
        <v>11</v>
      </c>
    </row>
    <row r="19" spans="2:9" ht="12.75">
      <c r="B19" s="88">
        <v>12</v>
      </c>
      <c r="C19" s="93">
        <v>0.0808</v>
      </c>
      <c r="D19" s="94">
        <v>2.05232</v>
      </c>
      <c r="E19" s="94">
        <v>1.588</v>
      </c>
      <c r="F19" s="94">
        <v>5.20864</v>
      </c>
      <c r="G19" s="95">
        <f t="shared" si="0"/>
        <v>6528.639999999999</v>
      </c>
      <c r="H19" s="96">
        <f t="shared" si="1"/>
        <v>13.057279999999999</v>
      </c>
      <c r="I19" s="91">
        <v>12</v>
      </c>
    </row>
    <row r="20" spans="2:9" ht="12.75">
      <c r="B20" s="88">
        <v>13</v>
      </c>
      <c r="C20" s="93">
        <v>0.072</v>
      </c>
      <c r="D20" s="94">
        <v>1.8288</v>
      </c>
      <c r="E20" s="94">
        <v>2.003</v>
      </c>
      <c r="F20" s="94">
        <v>6.56984</v>
      </c>
      <c r="G20" s="95">
        <f t="shared" si="0"/>
        <v>5184</v>
      </c>
      <c r="H20" s="96">
        <f t="shared" si="1"/>
        <v>10.368</v>
      </c>
      <c r="I20" s="91">
        <v>13</v>
      </c>
    </row>
    <row r="21" spans="2:9" ht="12.75">
      <c r="B21" s="88">
        <v>14</v>
      </c>
      <c r="C21" s="93">
        <v>0.0641</v>
      </c>
      <c r="D21" s="94">
        <v>1.62814</v>
      </c>
      <c r="E21" s="94">
        <v>2.525</v>
      </c>
      <c r="F21" s="94">
        <v>8.282</v>
      </c>
      <c r="G21" s="95">
        <f t="shared" si="0"/>
        <v>4108.810000000001</v>
      </c>
      <c r="H21" s="96">
        <f t="shared" si="1"/>
        <v>8.217620000000002</v>
      </c>
      <c r="I21" s="91">
        <v>14</v>
      </c>
    </row>
    <row r="22" spans="2:9" ht="12.75">
      <c r="B22" s="88">
        <v>15</v>
      </c>
      <c r="C22" s="93">
        <v>0.0571</v>
      </c>
      <c r="D22" s="94">
        <v>1.45034</v>
      </c>
      <c r="E22" s="94">
        <v>3.184</v>
      </c>
      <c r="F22" s="94">
        <v>10.44352</v>
      </c>
      <c r="G22" s="95">
        <f t="shared" si="0"/>
        <v>3260.4100000000003</v>
      </c>
      <c r="H22" s="96">
        <f t="shared" si="1"/>
        <v>6.5208200000000005</v>
      </c>
      <c r="I22" s="91">
        <v>15</v>
      </c>
    </row>
    <row r="23" spans="2:9" ht="12.75">
      <c r="B23" s="88">
        <v>16</v>
      </c>
      <c r="C23" s="93">
        <v>0.0508</v>
      </c>
      <c r="D23" s="94">
        <v>1.29032</v>
      </c>
      <c r="E23" s="94">
        <v>4.016</v>
      </c>
      <c r="F23" s="94">
        <v>13.17248</v>
      </c>
      <c r="G23" s="95">
        <f t="shared" si="0"/>
        <v>2580.64</v>
      </c>
      <c r="H23" s="96">
        <f t="shared" si="1"/>
        <v>5.16128</v>
      </c>
      <c r="I23" s="91">
        <v>16</v>
      </c>
    </row>
    <row r="24" spans="2:9" ht="12.75">
      <c r="B24" s="88">
        <v>17</v>
      </c>
      <c r="C24" s="93">
        <v>0.0453</v>
      </c>
      <c r="D24" s="94">
        <v>1.15062</v>
      </c>
      <c r="E24" s="94">
        <v>5.064</v>
      </c>
      <c r="F24" s="94">
        <v>16.60992</v>
      </c>
      <c r="G24" s="95">
        <f t="shared" si="0"/>
        <v>2052.0899999999997</v>
      </c>
      <c r="H24" s="96">
        <f t="shared" si="1"/>
        <v>4.1041799999999995</v>
      </c>
      <c r="I24" s="91">
        <v>17</v>
      </c>
    </row>
    <row r="25" spans="2:9" ht="12.75">
      <c r="B25" s="88">
        <v>18</v>
      </c>
      <c r="C25" s="93">
        <v>0.0403</v>
      </c>
      <c r="D25" s="94">
        <v>1.02362</v>
      </c>
      <c r="E25" s="94">
        <v>6.385</v>
      </c>
      <c r="F25" s="94">
        <v>20.9428</v>
      </c>
      <c r="G25" s="95">
        <f t="shared" si="0"/>
        <v>1624.0900000000004</v>
      </c>
      <c r="H25" s="96">
        <f t="shared" si="1"/>
        <v>3.248180000000001</v>
      </c>
      <c r="I25" s="91">
        <v>18</v>
      </c>
    </row>
    <row r="26" spans="2:13" ht="12.75">
      <c r="B26" s="88">
        <v>19</v>
      </c>
      <c r="C26" s="93">
        <v>0.035889763779529855</v>
      </c>
      <c r="D26" s="94">
        <v>0.9116</v>
      </c>
      <c r="E26" s="94">
        <v>8.0514</v>
      </c>
      <c r="F26" s="94">
        <v>26.415354330707665</v>
      </c>
      <c r="G26" s="95">
        <v>1288.1</v>
      </c>
      <c r="H26" s="96">
        <f t="shared" si="1"/>
        <v>2.5761502883009064</v>
      </c>
      <c r="I26" s="91">
        <v>19</v>
      </c>
      <c r="K26"/>
      <c r="L26"/>
      <c r="M26"/>
    </row>
    <row r="27" spans="2:13" ht="12.75">
      <c r="B27" s="88">
        <v>20</v>
      </c>
      <c r="C27" s="93">
        <v>0.031960629921261884</v>
      </c>
      <c r="D27" s="94">
        <v>0.8118</v>
      </c>
      <c r="E27" s="94">
        <v>10.153</v>
      </c>
      <c r="F27" s="94">
        <v>33.31036745406699</v>
      </c>
      <c r="G27" s="95">
        <v>1021.5</v>
      </c>
      <c r="H27" s="96">
        <f t="shared" si="1"/>
        <v>2.042963729927721</v>
      </c>
      <c r="I27" s="91">
        <v>20</v>
      </c>
      <c r="K27"/>
      <c r="L27"/>
      <c r="M27"/>
    </row>
    <row r="28" spans="2:13" ht="12.75">
      <c r="B28" s="88">
        <v>21</v>
      </c>
      <c r="C28" s="93">
        <v>0.028460629921261662</v>
      </c>
      <c r="D28" s="94">
        <v>0.7229</v>
      </c>
      <c r="E28" s="94">
        <v>12.802</v>
      </c>
      <c r="F28" s="94">
        <v>42.00131233595643</v>
      </c>
      <c r="G28" s="95">
        <v>810.1</v>
      </c>
      <c r="H28" s="96">
        <f t="shared" si="1"/>
        <v>1.6200149110300295</v>
      </c>
      <c r="I28" s="91">
        <v>21</v>
      </c>
      <c r="K28"/>
      <c r="L28"/>
      <c r="M28"/>
    </row>
    <row r="29" spans="2:13" ht="12.75">
      <c r="B29" s="88">
        <v>22</v>
      </c>
      <c r="C29" s="93">
        <v>0.02534645669291501</v>
      </c>
      <c r="D29" s="94">
        <v>0.6438</v>
      </c>
      <c r="E29" s="94">
        <v>16.143</v>
      </c>
      <c r="F29" s="94">
        <v>52.96259842519486</v>
      </c>
      <c r="G29" s="95">
        <v>642.44</v>
      </c>
      <c r="H29" s="96">
        <f t="shared" si="1"/>
        <v>1.284885733771632</v>
      </c>
      <c r="I29" s="91">
        <v>22</v>
      </c>
      <c r="K29"/>
      <c r="L29"/>
      <c r="M29"/>
    </row>
    <row r="30" spans="2:13" ht="12.75">
      <c r="B30" s="88">
        <v>23</v>
      </c>
      <c r="C30" s="93">
        <v>0.022570866141733727</v>
      </c>
      <c r="D30" s="94">
        <v>0.5733</v>
      </c>
      <c r="E30" s="94">
        <v>20.356</v>
      </c>
      <c r="F30" s="94">
        <v>66.78477690288463</v>
      </c>
      <c r="G30" s="95">
        <v>509.48</v>
      </c>
      <c r="H30" s="96">
        <f t="shared" si="1"/>
        <v>1.018887996776124</v>
      </c>
      <c r="I30" s="91">
        <v>23</v>
      </c>
      <c r="K30"/>
      <c r="L30"/>
      <c r="M30"/>
    </row>
    <row r="31" spans="2:13" ht="12.75">
      <c r="B31" s="88">
        <v>24</v>
      </c>
      <c r="C31" s="93">
        <v>0.020102362204725697</v>
      </c>
      <c r="D31" s="94">
        <v>0.5106</v>
      </c>
      <c r="E31" s="94">
        <v>25.669</v>
      </c>
      <c r="F31" s="94">
        <v>84.2158792650887</v>
      </c>
      <c r="G31" s="95">
        <v>404.03</v>
      </c>
      <c r="H31" s="96">
        <f t="shared" si="1"/>
        <v>0.8082099324199684</v>
      </c>
      <c r="I31" s="91">
        <v>24</v>
      </c>
      <c r="K31"/>
      <c r="L31"/>
      <c r="M31"/>
    </row>
    <row r="32" spans="11:13" ht="12.75">
      <c r="K32"/>
      <c r="L32"/>
      <c r="M32"/>
    </row>
    <row r="33" spans="11:13" ht="12.75">
      <c r="K33"/>
      <c r="L33"/>
      <c r="M33"/>
    </row>
    <row r="34" spans="2:13" ht="12.75">
      <c r="B34" s="87" t="s">
        <v>67</v>
      </c>
      <c r="K34"/>
      <c r="L34"/>
      <c r="M34"/>
    </row>
    <row r="35" spans="2:13" ht="12.75">
      <c r="B35" s="116" t="s">
        <v>52</v>
      </c>
      <c r="C35" s="98" t="s">
        <v>53</v>
      </c>
      <c r="D35" s="98" t="s">
        <v>54</v>
      </c>
      <c r="E35" s="98" t="s">
        <v>56</v>
      </c>
      <c r="F35" s="110" t="s">
        <v>58</v>
      </c>
      <c r="G35" s="111"/>
      <c r="H35" s="110" t="s">
        <v>60</v>
      </c>
      <c r="I35" s="111"/>
      <c r="K35"/>
      <c r="L35"/>
      <c r="M35"/>
    </row>
    <row r="36" spans="2:13" ht="12.75">
      <c r="B36" s="117"/>
      <c r="C36" s="99" t="s">
        <v>52</v>
      </c>
      <c r="D36" s="99" t="s">
        <v>55</v>
      </c>
      <c r="E36" s="99" t="s">
        <v>57</v>
      </c>
      <c r="F36" s="112" t="s">
        <v>59</v>
      </c>
      <c r="G36" s="113"/>
      <c r="H36" s="112" t="s">
        <v>61</v>
      </c>
      <c r="I36" s="113"/>
      <c r="K36"/>
      <c r="L36"/>
      <c r="M36"/>
    </row>
    <row r="37" spans="2:13" ht="12.75">
      <c r="B37" s="117"/>
      <c r="C37" s="99"/>
      <c r="D37" s="99"/>
      <c r="E37" s="99" t="s">
        <v>55</v>
      </c>
      <c r="F37" s="114"/>
      <c r="G37" s="115"/>
      <c r="H37" s="114"/>
      <c r="I37" s="115"/>
      <c r="K37"/>
      <c r="L37"/>
      <c r="M37"/>
    </row>
    <row r="38" spans="2:13" ht="12.75">
      <c r="B38" s="118"/>
      <c r="C38" s="100"/>
      <c r="D38" s="100"/>
      <c r="E38" s="100" t="s">
        <v>65</v>
      </c>
      <c r="F38" s="101" t="s">
        <v>62</v>
      </c>
      <c r="G38" s="101" t="s">
        <v>63</v>
      </c>
      <c r="H38" s="101" t="s">
        <v>62</v>
      </c>
      <c r="I38" s="101" t="s">
        <v>63</v>
      </c>
      <c r="K38"/>
      <c r="L38"/>
      <c r="M38"/>
    </row>
    <row r="39" spans="2:13" ht="12.75">
      <c r="B39" s="102" t="s">
        <v>64</v>
      </c>
      <c r="C39" s="102">
        <v>987</v>
      </c>
      <c r="D39" s="102" t="s">
        <v>64</v>
      </c>
      <c r="E39" s="102">
        <v>0.5</v>
      </c>
      <c r="F39" s="102" t="s">
        <v>68</v>
      </c>
      <c r="G39" s="102" t="s">
        <v>110</v>
      </c>
      <c r="H39" s="102">
        <v>0.032</v>
      </c>
      <c r="I39" s="102">
        <v>0.81</v>
      </c>
      <c r="K39"/>
      <c r="L39"/>
      <c r="M39"/>
    </row>
    <row r="40" spans="2:13" ht="12.75">
      <c r="B40" s="103">
        <v>1020</v>
      </c>
      <c r="C40" s="103" t="s">
        <v>64</v>
      </c>
      <c r="D40" s="103">
        <v>20</v>
      </c>
      <c r="E40" s="103" t="s">
        <v>64</v>
      </c>
      <c r="F40" s="103" t="s">
        <v>69</v>
      </c>
      <c r="G40" s="103" t="s">
        <v>111</v>
      </c>
      <c r="H40" s="103">
        <v>0.036</v>
      </c>
      <c r="I40" s="103">
        <v>0.91</v>
      </c>
      <c r="K40"/>
      <c r="L40"/>
      <c r="M40"/>
    </row>
    <row r="41" spans="2:9" ht="12.75">
      <c r="B41" s="103" t="s">
        <v>64</v>
      </c>
      <c r="C41" s="103">
        <v>1480</v>
      </c>
      <c r="D41" s="103" t="s">
        <v>64</v>
      </c>
      <c r="E41" s="103">
        <v>0.75</v>
      </c>
      <c r="F41" s="103" t="s">
        <v>70</v>
      </c>
      <c r="G41" s="103" t="s">
        <v>112</v>
      </c>
      <c r="H41" s="103">
        <v>0.039</v>
      </c>
      <c r="I41" s="103">
        <v>0.99</v>
      </c>
    </row>
    <row r="42" spans="2:9" ht="12.75">
      <c r="B42" s="103">
        <v>1620</v>
      </c>
      <c r="C42" s="103" t="s">
        <v>64</v>
      </c>
      <c r="D42" s="103">
        <v>18</v>
      </c>
      <c r="E42" s="103" t="s">
        <v>64</v>
      </c>
      <c r="F42" s="103" t="s">
        <v>71</v>
      </c>
      <c r="G42" s="103" t="s">
        <v>113</v>
      </c>
      <c r="H42" s="103">
        <v>0.04</v>
      </c>
      <c r="I42" s="103">
        <v>1.02</v>
      </c>
    </row>
    <row r="43" spans="2:9" ht="12.75">
      <c r="B43" s="103">
        <v>1620</v>
      </c>
      <c r="C43" s="103" t="s">
        <v>64</v>
      </c>
      <c r="D43" s="103">
        <v>18</v>
      </c>
      <c r="E43" s="103" t="s">
        <v>64</v>
      </c>
      <c r="F43" s="103" t="s">
        <v>72</v>
      </c>
      <c r="G43" s="103" t="s">
        <v>114</v>
      </c>
      <c r="H43" s="103">
        <v>0.046</v>
      </c>
      <c r="I43" s="103">
        <v>1.16</v>
      </c>
    </row>
    <row r="44" spans="2:9" ht="12.75">
      <c r="B44" s="103" t="s">
        <v>64</v>
      </c>
      <c r="C44" s="103">
        <v>1974</v>
      </c>
      <c r="D44" s="103" t="s">
        <v>64</v>
      </c>
      <c r="E44" s="103">
        <v>1</v>
      </c>
      <c r="F44" s="103" t="s">
        <v>73</v>
      </c>
      <c r="G44" s="103" t="s">
        <v>115</v>
      </c>
      <c r="H44" s="103">
        <v>0.045</v>
      </c>
      <c r="I44" s="103">
        <v>1.14</v>
      </c>
    </row>
    <row r="45" spans="2:9" ht="12.75">
      <c r="B45" s="104" t="s">
        <v>64</v>
      </c>
      <c r="C45" s="104">
        <v>1974</v>
      </c>
      <c r="D45" s="104" t="s">
        <v>64</v>
      </c>
      <c r="E45" s="104">
        <v>1</v>
      </c>
      <c r="F45" s="104" t="s">
        <v>74</v>
      </c>
      <c r="G45" s="104" t="s">
        <v>116</v>
      </c>
      <c r="H45" s="104">
        <v>0.051</v>
      </c>
      <c r="I45" s="104">
        <v>1.3</v>
      </c>
    </row>
    <row r="46" spans="2:9" ht="12.75">
      <c r="B46" s="102">
        <v>2580</v>
      </c>
      <c r="C46" s="102" t="s">
        <v>64</v>
      </c>
      <c r="D46" s="102">
        <v>16</v>
      </c>
      <c r="E46" s="102" t="s">
        <v>64</v>
      </c>
      <c r="F46" s="102" t="s">
        <v>75</v>
      </c>
      <c r="G46" s="102" t="s">
        <v>117</v>
      </c>
      <c r="H46" s="102">
        <v>0.051</v>
      </c>
      <c r="I46" s="102">
        <v>1.29</v>
      </c>
    </row>
    <row r="47" spans="2:9" ht="12.75">
      <c r="B47" s="103">
        <v>2580</v>
      </c>
      <c r="C47" s="103" t="s">
        <v>64</v>
      </c>
      <c r="D47" s="103">
        <v>16</v>
      </c>
      <c r="E47" s="103" t="s">
        <v>64</v>
      </c>
      <c r="F47" s="103" t="s">
        <v>76</v>
      </c>
      <c r="G47" s="103" t="s">
        <v>118</v>
      </c>
      <c r="H47" s="103">
        <v>0.058</v>
      </c>
      <c r="I47" s="103">
        <v>1.46</v>
      </c>
    </row>
    <row r="48" spans="2:9" ht="12.75">
      <c r="B48" s="103" t="s">
        <v>64</v>
      </c>
      <c r="C48" s="103">
        <v>2960</v>
      </c>
      <c r="D48" s="103" t="s">
        <v>64</v>
      </c>
      <c r="E48" s="103">
        <v>1.5</v>
      </c>
      <c r="F48" s="103" t="s">
        <v>77</v>
      </c>
      <c r="G48" s="103" t="s">
        <v>119</v>
      </c>
      <c r="H48" s="103">
        <v>0.055</v>
      </c>
      <c r="I48" s="103">
        <v>1.4</v>
      </c>
    </row>
    <row r="49" spans="2:9" ht="12.75">
      <c r="B49" s="103" t="s">
        <v>64</v>
      </c>
      <c r="C49" s="103">
        <v>2960</v>
      </c>
      <c r="D49" s="103" t="s">
        <v>64</v>
      </c>
      <c r="E49" s="103">
        <v>1.5</v>
      </c>
      <c r="F49" s="103" t="s">
        <v>78</v>
      </c>
      <c r="G49" s="103" t="s">
        <v>120</v>
      </c>
      <c r="H49" s="103">
        <v>0.063</v>
      </c>
      <c r="I49" s="103">
        <v>1.6</v>
      </c>
    </row>
    <row r="50" spans="2:9" ht="12.75">
      <c r="B50" s="103">
        <v>4110</v>
      </c>
      <c r="C50" s="103" t="s">
        <v>64</v>
      </c>
      <c r="D50" s="103">
        <v>14</v>
      </c>
      <c r="E50" s="103" t="s">
        <v>64</v>
      </c>
      <c r="F50" s="103" t="s">
        <v>79</v>
      </c>
      <c r="G50" s="103" t="s">
        <v>121</v>
      </c>
      <c r="H50" s="103">
        <v>0.064</v>
      </c>
      <c r="I50" s="103">
        <v>1.63</v>
      </c>
    </row>
    <row r="51" spans="2:9" ht="12.75">
      <c r="B51" s="104">
        <v>4110</v>
      </c>
      <c r="C51" s="104" t="s">
        <v>64</v>
      </c>
      <c r="D51" s="104">
        <v>14</v>
      </c>
      <c r="E51" s="104" t="s">
        <v>64</v>
      </c>
      <c r="F51" s="104" t="s">
        <v>80</v>
      </c>
      <c r="G51" s="104" t="s">
        <v>122</v>
      </c>
      <c r="H51" s="104">
        <v>0.073</v>
      </c>
      <c r="I51" s="104">
        <v>1.84</v>
      </c>
    </row>
    <row r="52" spans="2:9" ht="12.75">
      <c r="B52" s="102" t="s">
        <v>64</v>
      </c>
      <c r="C52" s="102">
        <v>4934</v>
      </c>
      <c r="D52" s="102" t="s">
        <v>64</v>
      </c>
      <c r="E52" s="102">
        <v>2.5</v>
      </c>
      <c r="F52" s="102" t="s">
        <v>81</v>
      </c>
      <c r="G52" s="102" t="s">
        <v>123</v>
      </c>
      <c r="H52" s="102">
        <v>0.071</v>
      </c>
      <c r="I52" s="102">
        <v>1.8</v>
      </c>
    </row>
    <row r="53" spans="2:9" ht="12.75">
      <c r="B53" s="103" t="s">
        <v>64</v>
      </c>
      <c r="C53" s="103">
        <v>4934</v>
      </c>
      <c r="D53" s="103" t="s">
        <v>64</v>
      </c>
      <c r="E53" s="103">
        <v>2.5</v>
      </c>
      <c r="F53" s="103" t="s">
        <v>82</v>
      </c>
      <c r="G53" s="103" t="s">
        <v>124</v>
      </c>
      <c r="H53" s="103">
        <v>0.081</v>
      </c>
      <c r="I53" s="103">
        <v>2.06</v>
      </c>
    </row>
    <row r="54" spans="2:9" ht="12.75">
      <c r="B54" s="103">
        <v>6530</v>
      </c>
      <c r="C54" s="103" t="s">
        <v>64</v>
      </c>
      <c r="D54" s="103">
        <v>12</v>
      </c>
      <c r="E54" s="103" t="s">
        <v>64</v>
      </c>
      <c r="F54" s="103" t="s">
        <v>83</v>
      </c>
      <c r="G54" s="103" t="s">
        <v>125</v>
      </c>
      <c r="H54" s="103">
        <v>0.081</v>
      </c>
      <c r="I54" s="103">
        <v>2.05</v>
      </c>
    </row>
    <row r="55" spans="2:9" ht="12.75">
      <c r="B55" s="103">
        <v>6530</v>
      </c>
      <c r="C55" s="103" t="s">
        <v>64</v>
      </c>
      <c r="D55" s="103">
        <v>12</v>
      </c>
      <c r="E55" s="103" t="s">
        <v>64</v>
      </c>
      <c r="F55" s="103" t="s">
        <v>84</v>
      </c>
      <c r="G55" s="103" t="s">
        <v>126</v>
      </c>
      <c r="H55" s="103">
        <v>0.092</v>
      </c>
      <c r="I55" s="103">
        <v>2.32</v>
      </c>
    </row>
    <row r="56" spans="2:9" ht="12.75">
      <c r="B56" s="103" t="s">
        <v>64</v>
      </c>
      <c r="C56" s="103">
        <v>7894</v>
      </c>
      <c r="D56" s="103" t="s">
        <v>64</v>
      </c>
      <c r="E56" s="103">
        <v>4</v>
      </c>
      <c r="F56" s="103" t="s">
        <v>85</v>
      </c>
      <c r="G56" s="103" t="s">
        <v>127</v>
      </c>
      <c r="H56" s="103">
        <v>0.089</v>
      </c>
      <c r="I56" s="103">
        <v>2.26</v>
      </c>
    </row>
    <row r="57" spans="2:9" ht="12.75">
      <c r="B57" s="104" t="s">
        <v>64</v>
      </c>
      <c r="C57" s="104">
        <v>7894</v>
      </c>
      <c r="D57" s="104" t="s">
        <v>64</v>
      </c>
      <c r="E57" s="104">
        <v>4</v>
      </c>
      <c r="F57" s="104" t="s">
        <v>86</v>
      </c>
      <c r="G57" s="104" t="s">
        <v>128</v>
      </c>
      <c r="H57" s="104">
        <v>0.102</v>
      </c>
      <c r="I57" s="104">
        <v>2.59</v>
      </c>
    </row>
    <row r="58" spans="2:9" ht="12.75">
      <c r="B58" s="102">
        <v>10380</v>
      </c>
      <c r="C58" s="102" t="s">
        <v>64</v>
      </c>
      <c r="D58" s="102">
        <v>10</v>
      </c>
      <c r="E58" s="102" t="s">
        <v>64</v>
      </c>
      <c r="F58" s="102" t="s">
        <v>87</v>
      </c>
      <c r="G58" s="102" t="s">
        <v>129</v>
      </c>
      <c r="H58" s="102">
        <v>0.102</v>
      </c>
      <c r="I58" s="102">
        <v>2.59</v>
      </c>
    </row>
    <row r="59" spans="2:9" ht="12.75">
      <c r="B59" s="103">
        <v>10380</v>
      </c>
      <c r="C59" s="103" t="s">
        <v>64</v>
      </c>
      <c r="D59" s="103">
        <v>10</v>
      </c>
      <c r="E59" s="103" t="s">
        <v>64</v>
      </c>
      <c r="F59" s="103" t="s">
        <v>88</v>
      </c>
      <c r="G59" s="103" t="s">
        <v>130</v>
      </c>
      <c r="H59" s="103">
        <v>0.116</v>
      </c>
      <c r="I59" s="103">
        <v>2.93</v>
      </c>
    </row>
    <row r="60" spans="2:9" ht="12.75">
      <c r="B60" s="103" t="s">
        <v>64</v>
      </c>
      <c r="C60" s="103">
        <v>11840</v>
      </c>
      <c r="D60" s="103" t="s">
        <v>64</v>
      </c>
      <c r="E60" s="103">
        <v>6</v>
      </c>
      <c r="F60" s="103" t="s">
        <v>89</v>
      </c>
      <c r="G60" s="103" t="s">
        <v>131</v>
      </c>
      <c r="H60" s="103">
        <v>0.109</v>
      </c>
      <c r="I60" s="103">
        <v>2.77</v>
      </c>
    </row>
    <row r="61" spans="2:9" ht="12.75">
      <c r="B61" s="103" t="s">
        <v>64</v>
      </c>
      <c r="C61" s="103">
        <v>11840</v>
      </c>
      <c r="D61" s="103" t="s">
        <v>64</v>
      </c>
      <c r="E61" s="103">
        <v>6</v>
      </c>
      <c r="F61" s="103" t="s">
        <v>90</v>
      </c>
      <c r="G61" s="103" t="s">
        <v>132</v>
      </c>
      <c r="H61" s="103">
        <v>0.126</v>
      </c>
      <c r="I61" s="103">
        <v>3.21</v>
      </c>
    </row>
    <row r="62" spans="2:9" ht="12.75">
      <c r="B62" s="103">
        <v>13090</v>
      </c>
      <c r="C62" s="103" t="s">
        <v>64</v>
      </c>
      <c r="D62" s="103">
        <v>9</v>
      </c>
      <c r="E62" s="103" t="s">
        <v>64</v>
      </c>
      <c r="F62" s="103" t="s">
        <v>91</v>
      </c>
      <c r="G62" s="103" t="s">
        <v>133</v>
      </c>
      <c r="H62" s="103">
        <v>0.1144</v>
      </c>
      <c r="I62" s="103">
        <v>2.91</v>
      </c>
    </row>
    <row r="63" spans="2:9" ht="12.75">
      <c r="B63" s="104">
        <v>13090</v>
      </c>
      <c r="C63" s="104" t="s">
        <v>64</v>
      </c>
      <c r="D63" s="104">
        <v>9</v>
      </c>
      <c r="E63" s="104" t="s">
        <v>64</v>
      </c>
      <c r="F63" s="104" t="s">
        <v>92</v>
      </c>
      <c r="G63" s="104" t="s">
        <v>134</v>
      </c>
      <c r="H63" s="104">
        <v>0.13</v>
      </c>
      <c r="I63" s="104">
        <v>3.3</v>
      </c>
    </row>
    <row r="64" spans="2:9" ht="12.75">
      <c r="B64" s="102">
        <v>16510</v>
      </c>
      <c r="C64" s="102" t="s">
        <v>64</v>
      </c>
      <c r="D64" s="102">
        <v>8</v>
      </c>
      <c r="E64" s="102" t="s">
        <v>64</v>
      </c>
      <c r="F64" s="102" t="s">
        <v>93</v>
      </c>
      <c r="G64" s="102" t="s">
        <v>135</v>
      </c>
      <c r="H64" s="102">
        <v>0.128</v>
      </c>
      <c r="I64" s="102">
        <v>3.26</v>
      </c>
    </row>
    <row r="65" spans="2:9" ht="12.75">
      <c r="B65" s="103">
        <v>16510</v>
      </c>
      <c r="C65" s="103" t="s">
        <v>64</v>
      </c>
      <c r="D65" s="103">
        <v>8</v>
      </c>
      <c r="E65" s="103" t="s">
        <v>64</v>
      </c>
      <c r="F65" s="103" t="s">
        <v>94</v>
      </c>
      <c r="G65" s="103" t="s">
        <v>136</v>
      </c>
      <c r="H65" s="103">
        <v>0.146</v>
      </c>
      <c r="I65" s="103">
        <v>3.7</v>
      </c>
    </row>
    <row r="66" spans="2:9" ht="12.75">
      <c r="B66" s="103" t="s">
        <v>64</v>
      </c>
      <c r="C66" s="103">
        <v>19740</v>
      </c>
      <c r="D66" s="103" t="s">
        <v>64</v>
      </c>
      <c r="E66" s="103">
        <v>10</v>
      </c>
      <c r="F66" s="103" t="s">
        <v>95</v>
      </c>
      <c r="G66" s="103" t="s">
        <v>137</v>
      </c>
      <c r="H66" s="103">
        <v>0.141</v>
      </c>
      <c r="I66" s="103">
        <v>3.58</v>
      </c>
    </row>
    <row r="67" spans="2:9" ht="12.75">
      <c r="B67" s="103" t="s">
        <v>64</v>
      </c>
      <c r="C67" s="103">
        <v>19740</v>
      </c>
      <c r="D67" s="103" t="s">
        <v>64</v>
      </c>
      <c r="E67" s="103">
        <v>10</v>
      </c>
      <c r="F67" s="103" t="s">
        <v>96</v>
      </c>
      <c r="G67" s="103" t="s">
        <v>138</v>
      </c>
      <c r="H67" s="103">
        <v>0.162</v>
      </c>
      <c r="I67" s="103">
        <v>4.12</v>
      </c>
    </row>
    <row r="68" spans="2:9" ht="12.75">
      <c r="B68" s="103">
        <v>20820</v>
      </c>
      <c r="C68" s="103" t="s">
        <v>64</v>
      </c>
      <c r="D68" s="103">
        <v>7</v>
      </c>
      <c r="E68" s="103" t="s">
        <v>64</v>
      </c>
      <c r="F68" s="103" t="s">
        <v>97</v>
      </c>
      <c r="G68" s="103" t="s">
        <v>139</v>
      </c>
      <c r="H68" s="103">
        <v>0.144</v>
      </c>
      <c r="I68" s="103">
        <v>3.67</v>
      </c>
    </row>
    <row r="69" spans="2:9" ht="12.75">
      <c r="B69" s="104">
        <v>20820</v>
      </c>
      <c r="C69" s="104" t="s">
        <v>64</v>
      </c>
      <c r="D69" s="104">
        <v>7</v>
      </c>
      <c r="E69" s="104" t="s">
        <v>64</v>
      </c>
      <c r="F69" s="104" t="s">
        <v>98</v>
      </c>
      <c r="G69" s="104" t="s">
        <v>140</v>
      </c>
      <c r="H69" s="104">
        <v>0.164</v>
      </c>
      <c r="I69" s="104">
        <v>4.15</v>
      </c>
    </row>
    <row r="70" spans="2:9" ht="12.75">
      <c r="B70" s="102">
        <v>26240</v>
      </c>
      <c r="C70" s="102" t="s">
        <v>64</v>
      </c>
      <c r="D70" s="102">
        <v>6</v>
      </c>
      <c r="E70" s="102" t="s">
        <v>64</v>
      </c>
      <c r="F70" s="102" t="s">
        <v>99</v>
      </c>
      <c r="G70" s="102" t="s">
        <v>141</v>
      </c>
      <c r="H70" s="102">
        <v>0.162</v>
      </c>
      <c r="I70" s="102">
        <v>4.11</v>
      </c>
    </row>
    <row r="71" spans="2:9" ht="12.75">
      <c r="B71" s="103">
        <v>26240</v>
      </c>
      <c r="C71" s="103" t="s">
        <v>64</v>
      </c>
      <c r="D71" s="103">
        <v>6</v>
      </c>
      <c r="E71" s="103" t="s">
        <v>64</v>
      </c>
      <c r="F71" s="103" t="s">
        <v>100</v>
      </c>
      <c r="G71" s="103" t="s">
        <v>142</v>
      </c>
      <c r="H71" s="103">
        <v>0.184</v>
      </c>
      <c r="I71" s="103">
        <v>4.66</v>
      </c>
    </row>
    <row r="72" spans="2:9" ht="12.75">
      <c r="B72" s="103" t="s">
        <v>64</v>
      </c>
      <c r="C72" s="103">
        <v>31580</v>
      </c>
      <c r="D72" s="103" t="s">
        <v>64</v>
      </c>
      <c r="E72" s="103">
        <v>16</v>
      </c>
      <c r="F72" s="103" t="s">
        <v>101</v>
      </c>
      <c r="G72" s="103" t="s">
        <v>143</v>
      </c>
      <c r="H72" s="103">
        <v>0.204</v>
      </c>
      <c r="I72" s="103">
        <v>5.18</v>
      </c>
    </row>
    <row r="73" spans="2:9" ht="12.75">
      <c r="B73" s="103">
        <v>33090</v>
      </c>
      <c r="C73" s="103" t="s">
        <v>64</v>
      </c>
      <c r="D73" s="103">
        <v>5</v>
      </c>
      <c r="E73" s="103" t="s">
        <v>64</v>
      </c>
      <c r="F73" s="103" t="s">
        <v>102</v>
      </c>
      <c r="G73" s="103" t="s">
        <v>144</v>
      </c>
      <c r="H73" s="103">
        <v>0.206</v>
      </c>
      <c r="I73" s="103">
        <v>5.24</v>
      </c>
    </row>
    <row r="74" spans="2:9" ht="12.75">
      <c r="B74" s="104">
        <v>41740</v>
      </c>
      <c r="C74" s="104" t="s">
        <v>64</v>
      </c>
      <c r="D74" s="104">
        <v>4</v>
      </c>
      <c r="E74" s="104" t="s">
        <v>64</v>
      </c>
      <c r="F74" s="104" t="s">
        <v>103</v>
      </c>
      <c r="G74" s="104" t="s">
        <v>145</v>
      </c>
      <c r="H74" s="104">
        <v>0.232</v>
      </c>
      <c r="I74" s="104">
        <v>5.88</v>
      </c>
    </row>
    <row r="75" spans="2:9" ht="12.75">
      <c r="B75" s="102" t="s">
        <v>64</v>
      </c>
      <c r="C75" s="102">
        <v>49340</v>
      </c>
      <c r="D75" s="102" t="s">
        <v>64</v>
      </c>
      <c r="E75" s="102">
        <v>25</v>
      </c>
      <c r="F75" s="102" t="s">
        <v>104</v>
      </c>
      <c r="G75" s="102" t="s">
        <v>146</v>
      </c>
      <c r="H75" s="102">
        <v>0.255</v>
      </c>
      <c r="I75" s="102">
        <v>6.48</v>
      </c>
    </row>
    <row r="76" spans="2:9" ht="12.75">
      <c r="B76" s="103" t="s">
        <v>64</v>
      </c>
      <c r="C76" s="103">
        <v>49340</v>
      </c>
      <c r="D76" s="103" t="s">
        <v>64</v>
      </c>
      <c r="E76" s="103">
        <v>25</v>
      </c>
      <c r="F76" s="103" t="s">
        <v>105</v>
      </c>
      <c r="G76" s="103" t="s">
        <v>147</v>
      </c>
      <c r="H76" s="103">
        <v>0.26</v>
      </c>
      <c r="I76" s="103">
        <v>6.6</v>
      </c>
    </row>
    <row r="77" spans="2:9" ht="12.75">
      <c r="B77" s="103">
        <v>52620</v>
      </c>
      <c r="C77" s="103" t="s">
        <v>64</v>
      </c>
      <c r="D77" s="103">
        <v>3</v>
      </c>
      <c r="E77" s="103" t="s">
        <v>64</v>
      </c>
      <c r="F77" s="103" t="s">
        <v>106</v>
      </c>
      <c r="G77" s="103" t="s">
        <v>148</v>
      </c>
      <c r="H77" s="103">
        <v>0.26</v>
      </c>
      <c r="I77" s="103">
        <v>6.61</v>
      </c>
    </row>
    <row r="78" spans="2:9" ht="12.75">
      <c r="B78" s="103">
        <v>66360</v>
      </c>
      <c r="C78" s="103" t="s">
        <v>64</v>
      </c>
      <c r="D78" s="103">
        <v>2</v>
      </c>
      <c r="E78" s="103" t="s">
        <v>64</v>
      </c>
      <c r="F78" s="103" t="s">
        <v>107</v>
      </c>
      <c r="G78" s="103" t="s">
        <v>149</v>
      </c>
      <c r="H78" s="103">
        <v>0.292</v>
      </c>
      <c r="I78" s="103">
        <v>7.42</v>
      </c>
    </row>
    <row r="79" spans="2:9" ht="12.75">
      <c r="B79" s="103" t="s">
        <v>64</v>
      </c>
      <c r="C79" s="103">
        <v>69070</v>
      </c>
      <c r="D79" s="103" t="s">
        <v>64</v>
      </c>
      <c r="E79" s="103">
        <v>35</v>
      </c>
      <c r="F79" s="103" t="s">
        <v>108</v>
      </c>
      <c r="G79" s="103" t="s">
        <v>150</v>
      </c>
      <c r="H79" s="103">
        <v>0.3</v>
      </c>
      <c r="I79" s="103">
        <v>7.62</v>
      </c>
    </row>
    <row r="80" spans="2:9" ht="12.75">
      <c r="B80" s="104" t="s">
        <v>64</v>
      </c>
      <c r="C80" s="104">
        <v>69070</v>
      </c>
      <c r="D80" s="104" t="s">
        <v>64</v>
      </c>
      <c r="E80" s="104">
        <v>35</v>
      </c>
      <c r="F80" s="104" t="s">
        <v>109</v>
      </c>
      <c r="G80" s="104" t="s">
        <v>151</v>
      </c>
      <c r="H80" s="104">
        <v>0.305</v>
      </c>
      <c r="I80" s="104">
        <v>7.75</v>
      </c>
    </row>
  </sheetData>
  <sheetProtection password="CF3B" sheet="1" objects="1" scenarios="1"/>
  <mergeCells count="7">
    <mergeCell ref="H35:I35"/>
    <mergeCell ref="H36:I36"/>
    <mergeCell ref="H37:I37"/>
    <mergeCell ref="B35:B38"/>
    <mergeCell ref="F35:G35"/>
    <mergeCell ref="F36:G36"/>
    <mergeCell ref="F37:G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Distributed Loudspeaker Cable Calculator</dc:title>
  <dc:subject/>
  <dc:creator>Chuck McGregor</dc:creator>
  <cp:keywords/>
  <dc:description/>
  <cp:lastModifiedBy>Erik</cp:lastModifiedBy>
  <cp:lastPrinted>2006-01-25T20:04:03Z</cp:lastPrinted>
  <dcterms:created xsi:type="dcterms:W3CDTF">2006-01-25T12:52:47Z</dcterms:created>
  <dcterms:modified xsi:type="dcterms:W3CDTF">2012-11-07T11:59:15Z</dcterms:modified>
  <cp:category/>
  <cp:version/>
  <cp:contentType/>
  <cp:contentStatus/>
</cp:coreProperties>
</file>